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ounting\Budgets\2021 Budget\"/>
    </mc:Choice>
  </mc:AlternateContent>
  <xr:revisionPtr revIDLastSave="0" documentId="13_ncr:1_{27E8EFF1-AF68-464D-AFD2-D78C24E99A41}" xr6:coauthVersionLast="46" xr6:coauthVersionMax="46" xr10:uidLastSave="{00000000-0000-0000-0000-000000000000}"/>
  <bookViews>
    <workbookView xWindow="-120" yWindow="-120" windowWidth="29040" windowHeight="15840" tabRatio="1000" firstSheet="1" activeTab="5" xr2:uid="{97618C22-CC5A-4274-8A5A-1A57221FBCD1}"/>
  </bookViews>
  <sheets>
    <sheet name="Formula Funding 2021" sheetId="6" r:id="rId1"/>
    <sheet name="Salary 2021 0%" sheetId="7" r:id="rId2"/>
    <sheet name="Salary 2021 2%" sheetId="5" r:id="rId3"/>
    <sheet name="Salary 2021 3%" sheetId="4" r:id="rId4"/>
    <sheet name="millage and summary 2021" sheetId="2" r:id="rId5"/>
    <sheet name="2020 2021 budget" sheetId="1" r:id="rId6"/>
  </sheets>
  <externalReferences>
    <externalReference r:id="rId7"/>
  </externalReferences>
  <definedNames>
    <definedName name="_xlnm.Print_Area" localSheetId="5">'2020 2021 budget'!$A$1:$L$115</definedName>
    <definedName name="_xlnm.Print_Area" localSheetId="0">'Formula Funding 2021'!$A$1:$H$24</definedName>
    <definedName name="_xlnm.Print_Area" localSheetId="4">'millage and summary 2021'!$A$1:$G$77</definedName>
    <definedName name="_xlnm.Print_Titles" localSheetId="5">'2020 2021 budget'!$A:$E,'2020 2021 budget'!$1:$1</definedName>
    <definedName name="QB_COLUMN_59200" localSheetId="5" hidden="1">'2020 2021 budget'!$F$1</definedName>
    <definedName name="QB_COLUMN_63620" localSheetId="5" hidden="1">'2020 2021 budget'!$H$1</definedName>
    <definedName name="QB_COLUMN_64430" localSheetId="5" hidden="1">'2020 2021 budget'!$I$1</definedName>
    <definedName name="QB_COLUMN_76210" localSheetId="5" hidden="1">'2020 2021 budget'!$G$1</definedName>
    <definedName name="QB_DATA_0" localSheetId="5" hidden="1">'2020 2021 budget'!$4:$4,'2020 2021 budget'!$5:$5,'2020 2021 budget'!$8:$8,'2020 2021 budget'!$11:$11,'2020 2021 budget'!$12:$12,'2020 2021 budget'!$13:$13,'2020 2021 budget'!$14:$14,'2020 2021 budget'!$15:$15,'2020 2021 budget'!$16:$16,'2020 2021 budget'!$19:$19,'2020 2021 budget'!$20:$20,'2020 2021 budget'!$23:$23,'2020 2021 budget'!$24:$24,'2020 2021 budget'!$25:$25,'2020 2021 budget'!$28:$28,'2020 2021 budget'!$29:$29</definedName>
    <definedName name="QB_DATA_1" localSheetId="5" hidden="1">'2020 2021 budget'!$30:$30,'2020 2021 budget'!$31:$31,'2020 2021 budget'!$32:$32,'2020 2021 budget'!$33:$33,'2020 2021 budget'!$34:$34,'2020 2021 budget'!$40:$40,'2020 2021 budget'!$41:$41,'2020 2021 budget'!$43:$43,'2020 2021 budget'!$44:$44,'2020 2021 budget'!$47:$47,'2020 2021 budget'!$48:$48,'2020 2021 budget'!$49:$49,'2020 2021 budget'!$50:$50,'2020 2021 budget'!$53:$53,'2020 2021 budget'!$54:$54,'2020 2021 budget'!$55:$55</definedName>
    <definedName name="QB_DATA_2" localSheetId="5" hidden="1">'2020 2021 budget'!$56:$56,'2020 2021 budget'!$57:$57,'2020 2021 budget'!$58:$58,'2020 2021 budget'!$59:$59,'2020 2021 budget'!$60:$60,'2020 2021 budget'!$61:$61,'2020 2021 budget'!$62:$62,'2020 2021 budget'!$65:$65,'2020 2021 budget'!$66:$66,'2020 2021 budget'!$67:$67,'2020 2021 budget'!$68:$68,'2020 2021 budget'!$69:$69,'2020 2021 budget'!$70:$70,'2020 2021 budget'!$71:$71,'2020 2021 budget'!$72:$72,'2020 2021 budget'!$73:$73</definedName>
    <definedName name="QB_DATA_3" localSheetId="5" hidden="1">'2020 2021 budget'!$74:$74,'2020 2021 budget'!$75:$75,'2020 2021 budget'!$76:$76,'2020 2021 budget'!#REF!,'2020 2021 budget'!$77:$77,'2020 2021 budget'!$80:$80,'2020 2021 budget'!$81:$81,'2020 2021 budget'!$82:$82,'2020 2021 budget'!$86:$86,'2020 2021 budget'!$87:$87,'2020 2021 budget'!$88:$88,'2020 2021 budget'!$90:$90,'2020 2021 budget'!$91:$91,'2020 2021 budget'!$94:$94,'2020 2021 budget'!$95:$95,'2020 2021 budget'!$96:$96</definedName>
    <definedName name="QB_DATA_4" localSheetId="5" hidden="1">'2020 2021 budget'!$97:$97,'2020 2021 budget'!$103:$103,'2020 2021 budget'!$107:$107,'2020 2021 budget'!$108:$108,'2020 2021 budget'!$110:$110</definedName>
    <definedName name="QB_FORMULA_0" localSheetId="5" hidden="1">'2020 2021 budget'!$H$4,'2020 2021 budget'!$I$4,'2020 2021 budget'!$H$8,'2020 2021 budget'!$I$8,'2020 2021 budget'!$F$9,'2020 2021 budget'!$G$9,'2020 2021 budget'!$H$9,'2020 2021 budget'!$I$9,'2020 2021 budget'!$H$11,'2020 2021 budget'!$I$11,'2020 2021 budget'!$H$12,'2020 2021 budget'!$I$12,'2020 2021 budget'!$H$13,'2020 2021 budget'!$I$13,'2020 2021 budget'!$H$14,'2020 2021 budget'!$I$14</definedName>
    <definedName name="QB_FORMULA_1" localSheetId="5" hidden="1">'2020 2021 budget'!$H$15,'2020 2021 budget'!$I$15,'2020 2021 budget'!$H$16,'2020 2021 budget'!$I$16,'2020 2021 budget'!$F$17,'2020 2021 budget'!$G$17,'2020 2021 budget'!$H$17,'2020 2021 budget'!$I$17,'2020 2021 budget'!$H$19,'2020 2021 budget'!$I$19,'2020 2021 budget'!$H$20,'2020 2021 budget'!$I$20,'2020 2021 budget'!$F$21,'2020 2021 budget'!$G$21,'2020 2021 budget'!$H$21,'2020 2021 budget'!$I$21</definedName>
    <definedName name="QB_FORMULA_10" localSheetId="5" hidden="1">'2020 2021 budget'!$F$89,'2020 2021 budget'!$G$89,'2020 2021 budget'!$H$89,'2020 2021 budget'!$I$89,'2020 2021 budget'!$H$90,'2020 2021 budget'!$I$90,'2020 2021 budget'!$H$91,'2020 2021 budget'!$I$91,'2020 2021 budget'!$F$92,'2020 2021 budget'!$G$92,'2020 2021 budget'!$H$92,'2020 2021 budget'!$I$92,'2020 2021 budget'!$H$94,'2020 2021 budget'!$I$94,'2020 2021 budget'!$H$95,'2020 2021 budget'!$I$95</definedName>
    <definedName name="QB_FORMULA_11" localSheetId="5" hidden="1">'2020 2021 budget'!$H$96,'2020 2021 budget'!$I$96,'2020 2021 budget'!$H$97,'2020 2021 budget'!$I$97,'2020 2021 budget'!$F$98,'2020 2021 budget'!$G$98,'2020 2021 budget'!$H$98,'2020 2021 budget'!$I$98,'2020 2021 budget'!$F$99,'2020 2021 budget'!$G$99,'2020 2021 budget'!$H$99,'2020 2021 budget'!$I$99,'2020 2021 budget'!$F$100,'2020 2021 budget'!$G$100,'2020 2021 budget'!$H$100,'2020 2021 budget'!$I$100</definedName>
    <definedName name="QB_FORMULA_12" localSheetId="5" hidden="1">'2020 2021 budget'!$F$104,'2020 2021 budget'!$H$107,'2020 2021 budget'!$I$107,'2020 2021 budget'!$H$108,'2020 2021 budget'!$I$108,'2020 2021 budget'!$F$109,'2020 2021 budget'!$G$109,'2020 2021 budget'!$H$109,'2020 2021 budget'!$I$109,'2020 2021 budget'!$H$110,'2020 2021 budget'!$I$110,'2020 2021 budget'!$F$111,'2020 2021 budget'!$G$111,'2020 2021 budget'!$H$111,'2020 2021 budget'!$I$111,'2020 2021 budget'!$F$112</definedName>
    <definedName name="QB_FORMULA_13" localSheetId="5" hidden="1">'2020 2021 budget'!$G$112,'2020 2021 budget'!$H$112,'2020 2021 budget'!$I$112,'2020 2021 budget'!$F$113,'2020 2021 budget'!$G$113,'2020 2021 budget'!$H$113,'2020 2021 budget'!$I$113,'2020 2021 budget'!$F$115,'2020 2021 budget'!$G$115,'2020 2021 budget'!$H$115,'2020 2021 budget'!$I$115</definedName>
    <definedName name="QB_FORMULA_2" localSheetId="5" hidden="1">'2020 2021 budget'!$H$23,'2020 2021 budget'!$I$23,'2020 2021 budget'!$H$24,'2020 2021 budget'!$I$24,'2020 2021 budget'!$H$25,'2020 2021 budget'!$I$25,'2020 2021 budget'!$F$26,'2020 2021 budget'!$G$26,'2020 2021 budget'!$H$26,'2020 2021 budget'!$I$26,'2020 2021 budget'!$H$28,'2020 2021 budget'!$I$28,'2020 2021 budget'!$H$29,'2020 2021 budget'!$I$29,'2020 2021 budget'!$H$30,'2020 2021 budget'!$I$30</definedName>
    <definedName name="QB_FORMULA_3" localSheetId="5" hidden="1">'2020 2021 budget'!$H$31,'2020 2021 budget'!$I$31,'2020 2021 budget'!$H$32,'2020 2021 budget'!$I$32,'2020 2021 budget'!$H$33,'2020 2021 budget'!$I$33,'2020 2021 budget'!#REF!,'2020 2021 budget'!#REF!,'2020 2021 budget'!#REF!,'2020 2021 budget'!#REF!,'2020 2021 budget'!$F$35,'2020 2021 budget'!$G$35,'2020 2021 budget'!$H$35,'2020 2021 budget'!$I$35,'2020 2021 budget'!$H$40,'2020 2021 budget'!$I$40</definedName>
    <definedName name="QB_FORMULA_4" localSheetId="5" hidden="1">'2020 2021 budget'!$H$41,'2020 2021 budget'!$I$41,'2020 2021 budget'!$F$42,'2020 2021 budget'!$G$42,'2020 2021 budget'!$H$42,'2020 2021 budget'!$I$42,'2020 2021 budget'!$H$43,'2020 2021 budget'!$I$43,'2020 2021 budget'!$H$44,'2020 2021 budget'!$I$44,'2020 2021 budget'!$F$45,'2020 2021 budget'!$G$45,'2020 2021 budget'!$H$45,'2020 2021 budget'!$I$45,'2020 2021 budget'!$H$47,'2020 2021 budget'!$I$47</definedName>
    <definedName name="QB_FORMULA_5" localSheetId="5" hidden="1">'2020 2021 budget'!$H$48,'2020 2021 budget'!$I$48,'2020 2021 budget'!$H$49,'2020 2021 budget'!$I$49,'2020 2021 budget'!$H$50,'2020 2021 budget'!$I$50,'2020 2021 budget'!$F$51,'2020 2021 budget'!$G$51,'2020 2021 budget'!$H$51,'2020 2021 budget'!$I$51,'2020 2021 budget'!$H$53,'2020 2021 budget'!$I$53,'2020 2021 budget'!$H$54,'2020 2021 budget'!$I$54,'2020 2021 budget'!$H$55,'2020 2021 budget'!$I$55</definedName>
    <definedName name="QB_FORMULA_6" localSheetId="5" hidden="1">'2020 2021 budget'!$H$56,'2020 2021 budget'!$I$56,'2020 2021 budget'!$H$57,'2020 2021 budget'!$I$57,'2020 2021 budget'!$H$58,'2020 2021 budget'!$I$58,'2020 2021 budget'!$H$59,'2020 2021 budget'!$I$59,'2020 2021 budget'!$H$60,'2020 2021 budget'!$I$60,'2020 2021 budget'!$H$61,'2020 2021 budget'!$I$61,'2020 2021 budget'!$H$62,'2020 2021 budget'!$I$62,'2020 2021 budget'!$F$63,'2020 2021 budget'!$G$63</definedName>
    <definedName name="QB_FORMULA_7" localSheetId="5" hidden="1">'2020 2021 budget'!$H$63,'2020 2021 budget'!$I$63,'2020 2021 budget'!$H$65,'2020 2021 budget'!$I$65,'2020 2021 budget'!$H$66,'2020 2021 budget'!$I$66,'2020 2021 budget'!$H$67,'2020 2021 budget'!$I$67,'2020 2021 budget'!$H$68,'2020 2021 budget'!$I$68,'2020 2021 budget'!$H$69,'2020 2021 budget'!$I$69,'2020 2021 budget'!$H$70,'2020 2021 budget'!$I$70,'2020 2021 budget'!$H$71,'2020 2021 budget'!$I$71</definedName>
    <definedName name="QB_FORMULA_8" localSheetId="5" hidden="1">'2020 2021 budget'!$H$72,'2020 2021 budget'!$I$72,'2020 2021 budget'!$H$73,'2020 2021 budget'!$I$73,'2020 2021 budget'!$H$74,'2020 2021 budget'!$I$74,'2020 2021 budget'!$H$75,'2020 2021 budget'!$I$75,'2020 2021 budget'!$H$76,'2020 2021 budget'!$I$76,'2020 2021 budget'!$H$77,'2020 2021 budget'!$I$77,'2020 2021 budget'!$F$78,'2020 2021 budget'!$G$78,'2020 2021 budget'!$H$78,'2020 2021 budget'!$I$78</definedName>
    <definedName name="QB_FORMULA_9" localSheetId="5" hidden="1">'2020 2021 budget'!$H$80,'2020 2021 budget'!$I$80,'2020 2021 budget'!$H$81,'2020 2021 budget'!$I$81,'2020 2021 budget'!$H$82,'2020 2021 budget'!$I$82,'2020 2021 budget'!$F$83,'2020 2021 budget'!$G$83,'2020 2021 budget'!$H$83,'2020 2021 budget'!$I$83,'2020 2021 budget'!$H$86,'2020 2021 budget'!$I$86,'2020 2021 budget'!$H$87,'2020 2021 budget'!$I$87,'2020 2021 budget'!$H$88,'2020 2021 budget'!$I$88</definedName>
    <definedName name="QB_ROW_100230" localSheetId="5" hidden="1">'2020 2021 budget'!$C$34</definedName>
    <definedName name="QB_ROW_10240" localSheetId="5" hidden="1">'2020 2021 budget'!$D$81</definedName>
    <definedName name="QB_ROW_105240" localSheetId="5" hidden="1">'2020 2021 budget'!$D$73</definedName>
    <definedName name="QB_ROW_109240" localSheetId="5" hidden="1">'2020 2021 budget'!$D$19</definedName>
    <definedName name="QB_ROW_110240" localSheetId="5" hidden="1">'2020 2021 budget'!$D$54</definedName>
    <definedName name="QB_ROW_111240" localSheetId="5" hidden="1">'2020 2021 budget'!$D$94</definedName>
    <definedName name="QB_ROW_11240" localSheetId="5" hidden="1">'2020 2021 budget'!$D$82</definedName>
    <definedName name="QB_ROW_115240" localSheetId="5" hidden="1">'2020 2021 budget'!$D$107</definedName>
    <definedName name="QB_ROW_121240" localSheetId="5" hidden="1">'2020 2021 budget'!$D$65</definedName>
    <definedName name="QB_ROW_12240" localSheetId="5" hidden="1">'2020 2021 budget'!$D$48</definedName>
    <definedName name="QB_ROW_1240" localSheetId="5" hidden="1">'2020 2021 budget'!$D$55</definedName>
    <definedName name="QB_ROW_124030" localSheetId="5" hidden="1">'2020 2021 budget'!$C$27</definedName>
    <definedName name="QB_ROW_124330" localSheetId="5" hidden="1">'2020 2021 budget'!#REF!</definedName>
    <definedName name="QB_ROW_126040" localSheetId="5" hidden="1">'2020 2021 budget'!$D$39</definedName>
    <definedName name="QB_ROW_126250" localSheetId="5" hidden="1">'2020 2021 budget'!$E$41</definedName>
    <definedName name="QB_ROW_126340" localSheetId="5" hidden="1">'2020 2021 budget'!$D$42</definedName>
    <definedName name="QB_ROW_132240" localSheetId="5" hidden="1">'2020 2021 budget'!$D$8</definedName>
    <definedName name="QB_ROW_134240" localSheetId="5" hidden="1">'2020 2021 budget'!$D$66</definedName>
    <definedName name="QB_ROW_137240" localSheetId="5" hidden="1">'2020 2021 budget'!$D$32</definedName>
    <definedName name="QB_ROW_138240" localSheetId="5" hidden="1">'2020 2021 budget'!#REF!</definedName>
    <definedName name="QB_ROW_15240" localSheetId="5" hidden="1">'2020 2021 budget'!$D$47</definedName>
    <definedName name="QB_ROW_16240" localSheetId="5" hidden="1">'2020 2021 budget'!$D$80</definedName>
    <definedName name="QB_ROW_177240" localSheetId="5" hidden="1">'2020 2021 budget'!$D$4</definedName>
    <definedName name="QB_ROW_179240" localSheetId="5" hidden="1">'2020 2021 budget'!$D$67</definedName>
    <definedName name="QB_ROW_180240" localSheetId="5" hidden="1">'2020 2021 budget'!$D$5</definedName>
    <definedName name="QB_ROW_181250" localSheetId="5" hidden="1">'2020 2021 budget'!$E$88</definedName>
    <definedName name="QB_ROW_182240" localSheetId="5" hidden="1">'2020 2021 budget'!$D$30</definedName>
    <definedName name="QB_ROW_18301" localSheetId="5" hidden="1">'2020 2021 budget'!#REF!</definedName>
    <definedName name="QB_ROW_183240" localSheetId="5" hidden="1">'2020 2021 budget'!$D$29</definedName>
    <definedName name="QB_ROW_184250" localSheetId="5" hidden="1">'2020 2021 budget'!$E$40</definedName>
    <definedName name="QB_ROW_185030" localSheetId="5" hidden="1">'2020 2021 budget'!$C$22</definedName>
    <definedName name="QB_ROW_185330" localSheetId="5" hidden="1">'2020 2021 budget'!$C$26</definedName>
    <definedName name="QB_ROW_186240" localSheetId="5" hidden="1">'2020 2021 budget'!$D$23</definedName>
    <definedName name="QB_ROW_187240" localSheetId="5" hidden="1">'2020 2021 budget'!$D$24</definedName>
    <definedName name="QB_ROW_189240" localSheetId="5" hidden="1">'2020 2021 budget'!$D$25</definedName>
    <definedName name="QB_ROW_19011" localSheetId="5" hidden="1">'2020 2021 budget'!#REF!</definedName>
    <definedName name="QB_ROW_19311" localSheetId="5" hidden="1">'2020 2021 budget'!$A$100</definedName>
    <definedName name="QB_ROW_193240" localSheetId="5" hidden="1">'2020 2021 budget'!$D$56</definedName>
    <definedName name="QB_ROW_194240" localSheetId="5" hidden="1">'2020 2021 budget'!$D$57</definedName>
    <definedName name="QB_ROW_195240" localSheetId="5" hidden="1">'2020 2021 budget'!$D$58</definedName>
    <definedName name="QB_ROW_196240" localSheetId="5" hidden="1">'2020 2021 budget'!$D$59</definedName>
    <definedName name="QB_ROW_197240" localSheetId="5" hidden="1">'2020 2021 budget'!$D$60</definedName>
    <definedName name="QB_ROW_198240" localSheetId="5" hidden="1">'2020 2021 budget'!$D$71</definedName>
    <definedName name="QB_ROW_20021" localSheetId="5" hidden="1">'2020 2021 budget'!$B$2</definedName>
    <definedName name="QB_ROW_200240" localSheetId="5" hidden="1">'2020 2021 budget'!$D$33</definedName>
    <definedName name="QB_ROW_201240" localSheetId="5" hidden="1">'2020 2021 budget'!$D$49</definedName>
    <definedName name="QB_ROW_202240" localSheetId="5" hidden="1">'2020 2021 budget'!$D$72</definedName>
    <definedName name="QB_ROW_20240" localSheetId="5" hidden="1">'2020 2021 budget'!$D$44</definedName>
    <definedName name="QB_ROW_20321" localSheetId="5" hidden="1">'2020 2021 budget'!$B$35</definedName>
    <definedName name="QB_ROW_21021" localSheetId="5" hidden="1">'2020 2021 budget'!$B$37</definedName>
    <definedName name="QB_ROW_21240" localSheetId="5" hidden="1">'2020 2021 budget'!$D$43</definedName>
    <definedName name="QB_ROW_21321" localSheetId="5" hidden="1">'2020 2021 budget'!$B$99</definedName>
    <definedName name="QB_ROW_22011" localSheetId="5" hidden="1">'2020 2021 budget'!$A$101</definedName>
    <definedName name="QB_ROW_22311" localSheetId="5" hidden="1">'2020 2021 budget'!$A$113</definedName>
    <definedName name="QB_ROW_23021" localSheetId="5" hidden="1">'2020 2021 budget'!$B$102</definedName>
    <definedName name="QB_ROW_23240" localSheetId="5" hidden="1">'2020 2021 budget'!$D$95</definedName>
    <definedName name="QB_ROW_23321" localSheetId="5" hidden="1">'2020 2021 budget'!$B$104</definedName>
    <definedName name="QB_ROW_24021" localSheetId="5" hidden="1">'2020 2021 budget'!$B$105</definedName>
    <definedName name="QB_ROW_24240" localSheetId="5" hidden="1">'2020 2021 budget'!$D$76</definedName>
    <definedName name="QB_ROW_24321" localSheetId="5" hidden="1">'2020 2021 budget'!$B$112</definedName>
    <definedName name="QB_ROW_25240" localSheetId="5" hidden="1">'2020 2021 budget'!$D$74</definedName>
    <definedName name="QB_ROW_26240" localSheetId="5" hidden="1">'2020 2021 budget'!$D$96</definedName>
    <definedName name="QB_ROW_27240" localSheetId="5" hidden="1">'2020 2021 budget'!$D$97</definedName>
    <definedName name="QB_ROW_30240" localSheetId="5" hidden="1">'2020 2021 budget'!$D$50</definedName>
    <definedName name="QB_ROW_32230" localSheetId="5" hidden="1">'2020 2021 budget'!$C$103</definedName>
    <definedName name="QB_ROW_34240" localSheetId="5" hidden="1">'2020 2021 budget'!$D$91</definedName>
    <definedName name="QB_ROW_35240" localSheetId="5" hidden="1">'2020 2021 budget'!$D$90</definedName>
    <definedName name="QB_ROW_39030" localSheetId="5" hidden="1">'2020 2021 budget'!$C$10</definedName>
    <definedName name="QB_ROW_39330" localSheetId="5" hidden="1">'2020 2021 budget'!$C$17</definedName>
    <definedName name="QB_ROW_40240" localSheetId="5" hidden="1">'2020 2021 budget'!$D$12</definedName>
    <definedName name="QB_ROW_41240" localSheetId="5" hidden="1">'2020 2021 budget'!$D$11</definedName>
    <definedName name="QB_ROW_42240" localSheetId="5" hidden="1">'2020 2021 budget'!$D$13</definedName>
    <definedName name="QB_ROW_4240" localSheetId="5" hidden="1">'2020 2021 budget'!$D$28</definedName>
    <definedName name="QB_ROW_43030" localSheetId="5" hidden="1">'2020 2021 budget'!$C$3</definedName>
    <definedName name="QB_ROW_43330" localSheetId="5" hidden="1">'2020 2021 budget'!$C$9</definedName>
    <definedName name="QB_ROW_47240" localSheetId="5" hidden="1">'2020 2021 budget'!$D$31</definedName>
    <definedName name="QB_ROW_5040" localSheetId="5" hidden="1">'2020 2021 budget'!$D$85</definedName>
    <definedName name="QB_ROW_51030" localSheetId="5" hidden="1">'2020 2021 budget'!$C$52</definedName>
    <definedName name="QB_ROW_51330" localSheetId="5" hidden="1">'2020 2021 budget'!$C$63</definedName>
    <definedName name="QB_ROW_52240" localSheetId="5" hidden="1">'2020 2021 budget'!$D$61</definedName>
    <definedName name="QB_ROW_53030" localSheetId="5" hidden="1">'2020 2021 budget'!$C$79</definedName>
    <definedName name="QB_ROW_53330" localSheetId="5" hidden="1">'2020 2021 budget'!$C$83</definedName>
    <definedName name="QB_ROW_5340" localSheetId="5" hidden="1">'2020 2021 budget'!$D$89</definedName>
    <definedName name="QB_ROW_54030" localSheetId="5" hidden="1">'2020 2021 budget'!$C$38</definedName>
    <definedName name="QB_ROW_54330" localSheetId="5" hidden="1">'2020 2021 budget'!$C$45</definedName>
    <definedName name="QB_ROW_56030" localSheetId="5" hidden="1">'2020 2021 budget'!$C$84</definedName>
    <definedName name="QB_ROW_56330" localSheetId="5" hidden="1">'2020 2021 budget'!$C$92</definedName>
    <definedName name="QB_ROW_57240" localSheetId="5" hidden="1">'2020 2021 budget'!$D$53</definedName>
    <definedName name="QB_ROW_58030" localSheetId="5" hidden="1">'2020 2021 budget'!$C$93</definedName>
    <definedName name="QB_ROW_58330" localSheetId="5" hidden="1">'2020 2021 budget'!$C$98</definedName>
    <definedName name="QB_ROW_59030" localSheetId="5" hidden="1">'2020 2021 budget'!$C$46</definedName>
    <definedName name="QB_ROW_59330" localSheetId="5" hidden="1">'2020 2021 budget'!$C$51</definedName>
    <definedName name="QB_ROW_60030" localSheetId="5" hidden="1">'2020 2021 budget'!#REF!</definedName>
    <definedName name="QB_ROW_60330" localSheetId="5" hidden="1">'2020 2021 budget'!$C$111</definedName>
    <definedName name="QB_ROW_61240" localSheetId="5" hidden="1">'2020 2021 budget'!$D$110</definedName>
    <definedName name="QB_ROW_66030" localSheetId="5" hidden="1">'2020 2021 budget'!$C$64</definedName>
    <definedName name="QB_ROW_66330" localSheetId="5" hidden="1">'2020 2021 budget'!$C$78</definedName>
    <definedName name="QB_ROW_67240" localSheetId="5" hidden="1">'2020 2021 budget'!$D$70</definedName>
    <definedName name="QB_ROW_68240" localSheetId="5" hidden="1">'2020 2021 budget'!$D$68</definedName>
    <definedName name="QB_ROW_69240" localSheetId="5" hidden="1">'2020 2021 budget'!$D$69</definedName>
    <definedName name="QB_ROW_70030" localSheetId="5" hidden="1">'2020 2021 budget'!$C$18</definedName>
    <definedName name="QB_ROW_70330" localSheetId="5" hidden="1">'2020 2021 budget'!$C$21</definedName>
    <definedName name="QB_ROW_73250" localSheetId="5" hidden="1">'2020 2021 budget'!$E$86</definedName>
    <definedName name="QB_ROW_74250" localSheetId="5" hidden="1">'2020 2021 budget'!$E$87</definedName>
    <definedName name="QB_ROW_76030" localSheetId="5" hidden="1">'2020 2021 budget'!$C$106</definedName>
    <definedName name="QB_ROW_76330" localSheetId="5" hidden="1">'2020 2021 budget'!$C$109</definedName>
    <definedName name="QB_ROW_77240" localSheetId="5" hidden="1">'2020 2021 budget'!$D$108</definedName>
    <definedName name="QB_ROW_84240" localSheetId="5" hidden="1">'2020 2021 budget'!$D$20</definedName>
    <definedName name="QB_ROW_87240" localSheetId="5" hidden="1">'2020 2021 budget'!$D$14</definedName>
    <definedName name="QB_ROW_88240" localSheetId="5" hidden="1">'2020 2021 budget'!$D$15</definedName>
    <definedName name="QB_ROW_89240" localSheetId="5" hidden="1">'2020 2021 budget'!$D$16</definedName>
    <definedName name="QB_ROW_92240" localSheetId="5" hidden="1">'2020 2021 budget'!$D$75</definedName>
    <definedName name="QB_ROW_9240" localSheetId="5" hidden="1">'2020 2021 budget'!$D$62</definedName>
    <definedName name="QB_ROW_93240" localSheetId="5" hidden="1">'2020 2021 budget'!$D$77</definedName>
    <definedName name="QBCANSUPPORTUPDATE" localSheetId="5">TRUE</definedName>
    <definedName name="QBCOMPANYFILENAME" localSheetId="5">"H:\LGustafson\qbdata backup\North Oakland Transportation Authority, Inc61108.QBW"</definedName>
    <definedName name="QBENDDATE" localSheetId="5">20200731</definedName>
    <definedName name="QBHEADERSONSCREEN" localSheetId="5">FALSE</definedName>
    <definedName name="QBMETADATASIZE" localSheetId="5">5907</definedName>
    <definedName name="QBPRESERVECOLOR" localSheetId="5">TRUE</definedName>
    <definedName name="QBPRESERVEFONT" localSheetId="5">TRUE</definedName>
    <definedName name="QBPRESERVEROWHEIGHT" localSheetId="5">TRUE</definedName>
    <definedName name="QBPRESERVESPACE" localSheetId="5">TRUE</definedName>
    <definedName name="QBREPORTCOLAXIS" localSheetId="5">0</definedName>
    <definedName name="QBREPORTCOMPANYID" localSheetId="5">"8c3f749557a940d4bd84028024ca8f6a"</definedName>
    <definedName name="QBREPORTCOMPARECOL_ANNUALBUDGET" localSheetId="5">FALSE</definedName>
    <definedName name="QBREPORTCOMPARECOL_AVGCOGS" localSheetId="5">FALSE</definedName>
    <definedName name="QBREPORTCOMPARECOL_AVGPRICE" localSheetId="5">FALSE</definedName>
    <definedName name="QBREPORTCOMPARECOL_BUDDIFF" localSheetId="5">TRUE</definedName>
    <definedName name="QBREPORTCOMPARECOL_BUDGET" localSheetId="5">TRUE</definedName>
    <definedName name="QBREPORTCOMPARECOL_BUDPCT" localSheetId="5">TRUE</definedName>
    <definedName name="QBREPORTCOMPARECOL_COGS" localSheetId="5">FALSE</definedName>
    <definedName name="QBREPORTCOMPARECOL_EXCLUDEAMOUNT" localSheetId="5">FALSE</definedName>
    <definedName name="QBREPORTCOMPARECOL_EXCLUDECURPERIOD" localSheetId="5">FALSE</definedName>
    <definedName name="QBREPORTCOMPARECOL_FORECAST" localSheetId="5">FALSE</definedName>
    <definedName name="QBREPORTCOMPARECOL_GROSSMARGIN" localSheetId="5">FALSE</definedName>
    <definedName name="QBREPORTCOMPARECOL_GROSSMARGINPCT" localSheetId="5">FALSE</definedName>
    <definedName name="QBREPORTCOMPARECOL_HOURS" localSheetId="5">FALSE</definedName>
    <definedName name="QBREPORTCOMPARECOL_PCTCOL" localSheetId="5">FALSE</definedName>
    <definedName name="QBREPORTCOMPARECOL_PCTEXPENSE" localSheetId="5">FALSE</definedName>
    <definedName name="QBREPORTCOMPARECOL_PCTINCOME" localSheetId="5">FALSE</definedName>
    <definedName name="QBREPORTCOMPARECOL_PCTOFSALES" localSheetId="5">FALSE</definedName>
    <definedName name="QBREPORTCOMPARECOL_PCTROW" localSheetId="5">FALSE</definedName>
    <definedName name="QBREPORTCOMPARECOL_PPDIFF" localSheetId="5">FALSE</definedName>
    <definedName name="QBREPORTCOMPARECOL_PPPCT" localSheetId="5">FALSE</definedName>
    <definedName name="QBREPORTCOMPARECOL_PREVPERIOD" localSheetId="5">FALSE</definedName>
    <definedName name="QBREPORTCOMPARECOL_PREVYEAR" localSheetId="5">FALSE</definedName>
    <definedName name="QBREPORTCOMPARECOL_PYDIFF" localSheetId="5">FALSE</definedName>
    <definedName name="QBREPORTCOMPARECOL_PYPCT" localSheetId="5">FALSE</definedName>
    <definedName name="QBREPORTCOMPARECOL_QTY" localSheetId="5">FALSE</definedName>
    <definedName name="QBREPORTCOMPARECOL_RATE" localSheetId="5">FALSE</definedName>
    <definedName name="QBREPORTCOMPARECOL_TRIPBILLEDMILES" localSheetId="5">FALSE</definedName>
    <definedName name="QBREPORTCOMPARECOL_TRIPBILLINGAMOUNT" localSheetId="5">FALSE</definedName>
    <definedName name="QBREPORTCOMPARECOL_TRIPMILES" localSheetId="5">FALSE</definedName>
    <definedName name="QBREPORTCOMPARECOL_TRIPNOTBILLABLEMILES" localSheetId="5">FALSE</definedName>
    <definedName name="QBREPORTCOMPARECOL_TRIPTAXDEDUCTIBLEAMOUNT" localSheetId="5">FALSE</definedName>
    <definedName name="QBREPORTCOMPARECOL_TRIPUNBILLEDMILES" localSheetId="5">FALSE</definedName>
    <definedName name="QBREPORTCOMPARECOL_YTD" localSheetId="5">FALSE</definedName>
    <definedName name="QBREPORTCOMPARECOL_YTDBUDGET" localSheetId="5">FALSE</definedName>
    <definedName name="QBREPORTCOMPARECOL_YTDPCT" localSheetId="5">FALSE</definedName>
    <definedName name="QBREPORTROWAXIS" localSheetId="5">11</definedName>
    <definedName name="QBREPORTSUBCOLAXIS" localSheetId="5">24</definedName>
    <definedName name="QBREPORTTYPE" localSheetId="5">288</definedName>
    <definedName name="QBROWHEADERS" localSheetId="5">6</definedName>
    <definedName name="QBSTARTDATE" localSheetId="5">20200101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5" i="1" l="1"/>
  <c r="L36" i="1"/>
  <c r="L35" i="1"/>
  <c r="L26" i="1"/>
  <c r="L21" i="1"/>
  <c r="L17" i="1"/>
  <c r="L9" i="1"/>
  <c r="F44" i="4"/>
  <c r="F42" i="4"/>
  <c r="F40" i="4"/>
  <c r="E43" i="4"/>
  <c r="H34" i="7"/>
  <c r="H36" i="7" s="1"/>
  <c r="E34" i="7"/>
  <c r="G34" i="7" s="1"/>
  <c r="G36" i="7" s="1"/>
  <c r="I33" i="7"/>
  <c r="H33" i="7"/>
  <c r="G33" i="7"/>
  <c r="F33" i="7"/>
  <c r="D27" i="7"/>
  <c r="E27" i="7" s="1"/>
  <c r="D21" i="7"/>
  <c r="E21" i="7" s="1"/>
  <c r="D17" i="7"/>
  <c r="E17" i="7" s="1"/>
  <c r="D13" i="7"/>
  <c r="E13" i="7" s="1"/>
  <c r="D9" i="7"/>
  <c r="E9" i="7" s="1"/>
  <c r="C8" i="7"/>
  <c r="E4" i="7"/>
  <c r="D4" i="7"/>
  <c r="C4" i="7"/>
  <c r="D28" i="7" s="1"/>
  <c r="E28" i="7" s="1"/>
  <c r="B4" i="7"/>
  <c r="D20" i="7" s="1"/>
  <c r="E20" i="7" s="1"/>
  <c r="E41" i="4"/>
  <c r="E34" i="5"/>
  <c r="D19" i="7" l="1"/>
  <c r="E19" i="7" s="1"/>
  <c r="F19" i="7"/>
  <c r="H19" i="7"/>
  <c r="G19" i="7"/>
  <c r="I19" i="7" s="1"/>
  <c r="G28" i="7"/>
  <c r="F28" i="7"/>
  <c r="I28" i="7" s="1"/>
  <c r="H28" i="7"/>
  <c r="F9" i="7"/>
  <c r="G9" i="7"/>
  <c r="H9" i="7"/>
  <c r="F21" i="7"/>
  <c r="H21" i="7"/>
  <c r="G21" i="7"/>
  <c r="F13" i="7"/>
  <c r="H13" i="7"/>
  <c r="G13" i="7"/>
  <c r="I13" i="7" s="1"/>
  <c r="G27" i="7"/>
  <c r="E30" i="7"/>
  <c r="F27" i="7"/>
  <c r="I27" i="7"/>
  <c r="H27" i="7"/>
  <c r="F17" i="7"/>
  <c r="H17" i="7"/>
  <c r="G17" i="7"/>
  <c r="F36" i="7"/>
  <c r="H20" i="7"/>
  <c r="G20" i="7"/>
  <c r="F20" i="7"/>
  <c r="I20" i="7" s="1"/>
  <c r="I34" i="7"/>
  <c r="I36" i="7" s="1"/>
  <c r="F34" i="7"/>
  <c r="E36" i="7"/>
  <c r="D8" i="7"/>
  <c r="E8" i="7" s="1"/>
  <c r="D10" i="7"/>
  <c r="E10" i="7" s="1"/>
  <c r="D15" i="7"/>
  <c r="E15" i="7" s="1"/>
  <c r="D18" i="7"/>
  <c r="E18" i="7" s="1"/>
  <c r="K7" i="1"/>
  <c r="F30" i="7" l="1"/>
  <c r="I17" i="7"/>
  <c r="I9" i="7"/>
  <c r="I21" i="7"/>
  <c r="H10" i="7"/>
  <c r="F10" i="7"/>
  <c r="G10" i="7"/>
  <c r="I10" i="7" s="1"/>
  <c r="H18" i="7"/>
  <c r="F18" i="7"/>
  <c r="G18" i="7"/>
  <c r="I30" i="7"/>
  <c r="E24" i="7"/>
  <c r="E39" i="7" s="1"/>
  <c r="H8" i="7"/>
  <c r="G8" i="7"/>
  <c r="F8" i="7"/>
  <c r="H15" i="7"/>
  <c r="G15" i="7"/>
  <c r="F15" i="7"/>
  <c r="H30" i="7"/>
  <c r="G30" i="7"/>
  <c r="B18" i="6"/>
  <c r="D16" i="6"/>
  <c r="B8" i="6"/>
  <c r="C5" i="6" s="1"/>
  <c r="D5" i="6" s="1"/>
  <c r="E6" i="6"/>
  <c r="C6" i="6"/>
  <c r="D6" i="6" s="1"/>
  <c r="E5" i="6"/>
  <c r="E4" i="6"/>
  <c r="I18" i="7" l="1"/>
  <c r="I15" i="7"/>
  <c r="G24" i="7"/>
  <c r="G39" i="7" s="1"/>
  <c r="H24" i="7"/>
  <c r="H39" i="7" s="1"/>
  <c r="I8" i="7"/>
  <c r="F24" i="7"/>
  <c r="F39" i="7" s="1"/>
  <c r="E8" i="6"/>
  <c r="F6" i="6" s="1"/>
  <c r="G6" i="6" s="1"/>
  <c r="C14" i="6" s="1"/>
  <c r="D14" i="6" s="1"/>
  <c r="F14" i="6" s="1"/>
  <c r="B22" i="6" s="1"/>
  <c r="C22" i="6" s="1"/>
  <c r="C4" i="6"/>
  <c r="I24" i="7" l="1"/>
  <c r="I39" i="7" s="1"/>
  <c r="F5" i="6"/>
  <c r="G5" i="6" s="1"/>
  <c r="C13" i="6" s="1"/>
  <c r="D13" i="6" s="1"/>
  <c r="F13" i="6" s="1"/>
  <c r="B21" i="6" s="1"/>
  <c r="C21" i="6" s="1"/>
  <c r="F4" i="6"/>
  <c r="G4" i="6" s="1"/>
  <c r="C12" i="6" s="1"/>
  <c r="D12" i="6" s="1"/>
  <c r="F12" i="6" s="1"/>
  <c r="D4" i="6"/>
  <c r="C8" i="6"/>
  <c r="D8" i="6" s="1"/>
  <c r="F8" i="6" l="1"/>
  <c r="G8" i="6" s="1"/>
  <c r="B20" i="6"/>
  <c r="C20" i="6" s="1"/>
  <c r="F16" i="6"/>
  <c r="E35" i="2" l="1"/>
  <c r="F35" i="2" s="1"/>
  <c r="G35" i="2" s="1"/>
  <c r="D35" i="2"/>
  <c r="D28" i="5" l="1"/>
  <c r="E4" i="5"/>
  <c r="D4" i="5"/>
  <c r="C4" i="5"/>
  <c r="B4" i="5"/>
  <c r="E4" i="4"/>
  <c r="D4" i="4"/>
  <c r="C4" i="4"/>
  <c r="G34" i="5" l="1"/>
  <c r="H34" i="5"/>
  <c r="I33" i="5"/>
  <c r="H33" i="5"/>
  <c r="G33" i="5"/>
  <c r="F33" i="5"/>
  <c r="E28" i="5"/>
  <c r="D27" i="5"/>
  <c r="E27" i="5" s="1"/>
  <c r="C8" i="5"/>
  <c r="D21" i="5"/>
  <c r="E21" i="5" s="1"/>
  <c r="C35" i="4"/>
  <c r="E34" i="4"/>
  <c r="H34" i="4" s="1"/>
  <c r="C34" i="4"/>
  <c r="H33" i="4"/>
  <c r="H36" i="4" s="1"/>
  <c r="G33" i="4"/>
  <c r="I33" i="4" s="1"/>
  <c r="F33" i="4"/>
  <c r="D28" i="4"/>
  <c r="E28" i="4" s="1"/>
  <c r="D27" i="4"/>
  <c r="E27" i="4" s="1"/>
  <c r="D20" i="4"/>
  <c r="E20" i="4" s="1"/>
  <c r="D18" i="4"/>
  <c r="E18" i="4" s="1"/>
  <c r="D15" i="4"/>
  <c r="E15" i="4" s="1"/>
  <c r="G10" i="4"/>
  <c r="D10" i="4"/>
  <c r="E10" i="4" s="1"/>
  <c r="D8" i="4"/>
  <c r="C8" i="4"/>
  <c r="E8" i="4" s="1"/>
  <c r="G8" i="4" s="1"/>
  <c r="B4" i="4"/>
  <c r="D21" i="4" s="1"/>
  <c r="E21" i="4" s="1"/>
  <c r="G36" i="5" l="1"/>
  <c r="H21" i="5"/>
  <c r="G21" i="5"/>
  <c r="F21" i="5"/>
  <c r="E30" i="5"/>
  <c r="H27" i="5"/>
  <c r="H30" i="5" s="1"/>
  <c r="G27" i="5"/>
  <c r="F27" i="5"/>
  <c r="F30" i="5" s="1"/>
  <c r="H36" i="5"/>
  <c r="G28" i="5"/>
  <c r="I28" i="5" s="1"/>
  <c r="F28" i="5"/>
  <c r="H28" i="5"/>
  <c r="D8" i="5"/>
  <c r="E8" i="5" s="1"/>
  <c r="D10" i="5"/>
  <c r="E10" i="5" s="1"/>
  <c r="D15" i="5"/>
  <c r="E15" i="5" s="1"/>
  <c r="D18" i="5"/>
  <c r="E18" i="5" s="1"/>
  <c r="D20" i="5"/>
  <c r="E20" i="5" s="1"/>
  <c r="F34" i="5"/>
  <c r="F36" i="5" s="1"/>
  <c r="E36" i="5"/>
  <c r="D9" i="5"/>
  <c r="E9" i="5" s="1"/>
  <c r="D13" i="5"/>
  <c r="E13" i="5" s="1"/>
  <c r="D17" i="5"/>
  <c r="E17" i="5" s="1"/>
  <c r="D19" i="5"/>
  <c r="E19" i="5" s="1"/>
  <c r="F20" i="4"/>
  <c r="H20" i="4"/>
  <c r="G20" i="4"/>
  <c r="H21" i="4"/>
  <c r="G21" i="4"/>
  <c r="F21" i="4"/>
  <c r="I21" i="4"/>
  <c r="E30" i="4"/>
  <c r="H27" i="4"/>
  <c r="H30" i="4" s="1"/>
  <c r="G27" i="4"/>
  <c r="G30" i="4" s="1"/>
  <c r="F27" i="4"/>
  <c r="F8" i="4"/>
  <c r="I8" i="4"/>
  <c r="H8" i="4"/>
  <c r="F15" i="4"/>
  <c r="H15" i="4"/>
  <c r="I15" i="4" s="1"/>
  <c r="G15" i="4"/>
  <c r="G28" i="4"/>
  <c r="F28" i="4"/>
  <c r="I28" i="4"/>
  <c r="H28" i="4"/>
  <c r="F10" i="4"/>
  <c r="H10" i="4"/>
  <c r="I10" i="4" s="1"/>
  <c r="F18" i="4"/>
  <c r="H18" i="4"/>
  <c r="G18" i="4"/>
  <c r="G36" i="4"/>
  <c r="F34" i="4"/>
  <c r="F36" i="4" s="1"/>
  <c r="G34" i="4"/>
  <c r="E36" i="4"/>
  <c r="D9" i="4"/>
  <c r="E9" i="4" s="1"/>
  <c r="D13" i="4"/>
  <c r="E13" i="4" s="1"/>
  <c r="D17" i="4"/>
  <c r="E17" i="4" s="1"/>
  <c r="D19" i="4"/>
  <c r="E19" i="4" s="1"/>
  <c r="I21" i="5" l="1"/>
  <c r="I20" i="4"/>
  <c r="I18" i="4"/>
  <c r="H17" i="5"/>
  <c r="G17" i="5"/>
  <c r="F17" i="5"/>
  <c r="H19" i="5"/>
  <c r="G19" i="5"/>
  <c r="F19" i="5"/>
  <c r="F15" i="5"/>
  <c r="H15" i="5"/>
  <c r="G15" i="5"/>
  <c r="F10" i="5"/>
  <c r="H10" i="5"/>
  <c r="G10" i="5"/>
  <c r="H13" i="5"/>
  <c r="G13" i="5"/>
  <c r="F13" i="5"/>
  <c r="F20" i="5"/>
  <c r="H20" i="5"/>
  <c r="G20" i="5"/>
  <c r="F8" i="5"/>
  <c r="E24" i="5"/>
  <c r="E39" i="5" s="1"/>
  <c r="H8" i="5"/>
  <c r="G8" i="5"/>
  <c r="I27" i="5"/>
  <c r="I30" i="5" s="1"/>
  <c r="H9" i="5"/>
  <c r="G9" i="5"/>
  <c r="F9" i="5"/>
  <c r="F18" i="5"/>
  <c r="H18" i="5"/>
  <c r="G18" i="5"/>
  <c r="I34" i="5"/>
  <c r="I36" i="5" s="1"/>
  <c r="G30" i="5"/>
  <c r="H13" i="4"/>
  <c r="G13" i="4"/>
  <c r="F13" i="4"/>
  <c r="I13" i="4"/>
  <c r="E24" i="4"/>
  <c r="E39" i="4" s="1"/>
  <c r="H9" i="4"/>
  <c r="G9" i="4"/>
  <c r="F9" i="4"/>
  <c r="I9" i="4" s="1"/>
  <c r="H19" i="4"/>
  <c r="G19" i="4"/>
  <c r="F19" i="4"/>
  <c r="F24" i="4" s="1"/>
  <c r="F39" i="4" s="1"/>
  <c r="I34" i="4"/>
  <c r="I36" i="4" s="1"/>
  <c r="H17" i="4"/>
  <c r="G17" i="4"/>
  <c r="F17" i="4"/>
  <c r="I17" i="4"/>
  <c r="F30" i="4"/>
  <c r="I27" i="4"/>
  <c r="I30" i="4" s="1"/>
  <c r="I17" i="5" l="1"/>
  <c r="I19" i="5"/>
  <c r="I15" i="5"/>
  <c r="I13" i="5"/>
  <c r="I10" i="5"/>
  <c r="I19" i="4"/>
  <c r="I24" i="4" s="1"/>
  <c r="I39" i="4" s="1"/>
  <c r="H24" i="4"/>
  <c r="H39" i="4" s="1"/>
  <c r="H24" i="5"/>
  <c r="H39" i="5" s="1"/>
  <c r="I18" i="5"/>
  <c r="I20" i="5"/>
  <c r="I8" i="5"/>
  <c r="I9" i="5"/>
  <c r="G24" i="5"/>
  <c r="G39" i="5" s="1"/>
  <c r="F24" i="5"/>
  <c r="F39" i="5" s="1"/>
  <c r="G24" i="4"/>
  <c r="G39" i="4" s="1"/>
  <c r="I24" i="5" l="1"/>
  <c r="I39" i="5" s="1"/>
  <c r="J35" i="1" l="1"/>
  <c r="J114" i="1"/>
  <c r="F104" i="1"/>
  <c r="B75" i="2"/>
  <c r="B74" i="2"/>
  <c r="B73" i="2"/>
  <c r="D70" i="2"/>
  <c r="I70" i="2" s="1"/>
  <c r="J70" i="2" s="1"/>
  <c r="K70" i="2" s="1"/>
  <c r="L70" i="2" s="1"/>
  <c r="M70" i="2" s="1"/>
  <c r="C68" i="2"/>
  <c r="B68" i="2"/>
  <c r="C42" i="2" s="1"/>
  <c r="D42" i="2" s="1"/>
  <c r="E42" i="2" s="1"/>
  <c r="F42" i="2" s="1"/>
  <c r="G42" i="2" s="1"/>
  <c r="D67" i="2"/>
  <c r="I67" i="2" s="1"/>
  <c r="J67" i="2" s="1"/>
  <c r="K67" i="2" s="1"/>
  <c r="L67" i="2" s="1"/>
  <c r="M67" i="2" s="1"/>
  <c r="D66" i="2"/>
  <c r="I66" i="2" s="1"/>
  <c r="J66" i="2" s="1"/>
  <c r="K66" i="2" s="1"/>
  <c r="L66" i="2" s="1"/>
  <c r="M66" i="2" s="1"/>
  <c r="D65" i="2"/>
  <c r="I65" i="2" s="1"/>
  <c r="B61" i="2"/>
  <c r="C60" i="2"/>
  <c r="D60" i="2" s="1"/>
  <c r="I60" i="2" s="1"/>
  <c r="J60" i="2" s="1"/>
  <c r="K60" i="2" s="1"/>
  <c r="L60" i="2" s="1"/>
  <c r="M60" i="2" s="1"/>
  <c r="C59" i="2"/>
  <c r="C58" i="2"/>
  <c r="D58" i="2" s="1"/>
  <c r="I58" i="2" s="1"/>
  <c r="B54" i="2"/>
  <c r="D53" i="2"/>
  <c r="D75" i="2" s="1"/>
  <c r="I75" i="2" s="1"/>
  <c r="J75" i="2" s="1"/>
  <c r="K75" i="2" s="1"/>
  <c r="L75" i="2" s="1"/>
  <c r="M75" i="2" s="1"/>
  <c r="D52" i="2"/>
  <c r="I52" i="2" s="1"/>
  <c r="D51" i="2"/>
  <c r="C41" i="2"/>
  <c r="D41" i="2" s="1"/>
  <c r="E41" i="2" s="1"/>
  <c r="F41" i="2" s="1"/>
  <c r="G41" i="2" s="1"/>
  <c r="C40" i="2"/>
  <c r="D40" i="2" s="1"/>
  <c r="B37" i="2"/>
  <c r="D29" i="2"/>
  <c r="B28" i="2"/>
  <c r="C28" i="2" s="1"/>
  <c r="D28" i="2" s="1"/>
  <c r="E28" i="2" s="1"/>
  <c r="F28" i="2" s="1"/>
  <c r="G28" i="2" s="1"/>
  <c r="B27" i="2"/>
  <c r="C27" i="2" s="1"/>
  <c r="D27" i="2" s="1"/>
  <c r="E27" i="2" s="1"/>
  <c r="F27" i="2" s="1"/>
  <c r="G27" i="2" s="1"/>
  <c r="B26" i="2"/>
  <c r="C26" i="2" s="1"/>
  <c r="D26" i="2" s="1"/>
  <c r="E26" i="2" s="1"/>
  <c r="F26" i="2" s="1"/>
  <c r="G26" i="2" s="1"/>
  <c r="B25" i="2"/>
  <c r="C25" i="2" s="1"/>
  <c r="D25" i="2" s="1"/>
  <c r="E25" i="2" s="1"/>
  <c r="F25" i="2" s="1"/>
  <c r="G25" i="2" s="1"/>
  <c r="B76" i="2" l="1"/>
  <c r="D43" i="2"/>
  <c r="D46" i="2" s="1"/>
  <c r="D54" i="2"/>
  <c r="C46" i="2" s="1"/>
  <c r="C61" i="2"/>
  <c r="E29" i="2"/>
  <c r="I74" i="2"/>
  <c r="J52" i="2"/>
  <c r="J58" i="2"/>
  <c r="I68" i="2"/>
  <c r="J65" i="2"/>
  <c r="C43" i="2"/>
  <c r="D73" i="2"/>
  <c r="D74" i="2"/>
  <c r="E40" i="2"/>
  <c r="I51" i="2"/>
  <c r="I53" i="2"/>
  <c r="J53" i="2" s="1"/>
  <c r="K53" i="2" s="1"/>
  <c r="L53" i="2" s="1"/>
  <c r="M53" i="2" s="1"/>
  <c r="D59" i="2"/>
  <c r="D68" i="2"/>
  <c r="C47" i="2" l="1"/>
  <c r="D47" i="2" s="1"/>
  <c r="C74" i="2"/>
  <c r="J51" i="2"/>
  <c r="I73" i="2"/>
  <c r="I76" i="2" s="1"/>
  <c r="I54" i="2"/>
  <c r="C73" i="2"/>
  <c r="D76" i="2"/>
  <c r="K58" i="2"/>
  <c r="F29" i="2"/>
  <c r="E43" i="2"/>
  <c r="E46" i="2" s="1"/>
  <c r="F40" i="2"/>
  <c r="C48" i="2"/>
  <c r="B21" i="2" s="1"/>
  <c r="C37" i="2" s="1"/>
  <c r="I59" i="2"/>
  <c r="D61" i="2"/>
  <c r="K65" i="2"/>
  <c r="J68" i="2"/>
  <c r="J74" i="2"/>
  <c r="K52" i="2"/>
  <c r="E47" i="2" l="1"/>
  <c r="F47" i="2" s="1"/>
  <c r="G47" i="2" s="1"/>
  <c r="D48" i="2"/>
  <c r="E48" i="2"/>
  <c r="E9" i="2" s="1"/>
  <c r="K74" i="2"/>
  <c r="L52" i="2"/>
  <c r="G40" i="2"/>
  <c r="G43" i="2" s="1"/>
  <c r="G46" i="2" s="1"/>
  <c r="G48" i="2" s="1"/>
  <c r="G9" i="2" s="1"/>
  <c r="G21" i="2" s="1"/>
  <c r="F43" i="2"/>
  <c r="F46" i="2" s="1"/>
  <c r="F48" i="2" s="1"/>
  <c r="F9" i="2" s="1"/>
  <c r="L58" i="2"/>
  <c r="J59" i="2"/>
  <c r="I61" i="2"/>
  <c r="G29" i="2"/>
  <c r="K51" i="2"/>
  <c r="J73" i="2"/>
  <c r="J76" i="2" s="1"/>
  <c r="J54" i="2"/>
  <c r="L65" i="2"/>
  <c r="K68" i="2"/>
  <c r="E21" i="2" l="1"/>
  <c r="F37" i="2" s="1"/>
  <c r="C21" i="2"/>
  <c r="D9" i="2"/>
  <c r="D21" i="2" s="1"/>
  <c r="E37" i="2" s="1"/>
  <c r="K73" i="2"/>
  <c r="K76" i="2" s="1"/>
  <c r="F21" i="2" s="1"/>
  <c r="G37" i="2" s="1"/>
  <c r="K54" i="2"/>
  <c r="L51" i="2"/>
  <c r="M65" i="2"/>
  <c r="M68" i="2" s="1"/>
  <c r="L68" i="2"/>
  <c r="M58" i="2"/>
  <c r="K59" i="2"/>
  <c r="J61" i="2"/>
  <c r="M52" i="2"/>
  <c r="M74" i="2" s="1"/>
  <c r="L74" i="2"/>
  <c r="L54" i="2" l="1"/>
  <c r="M51" i="2"/>
  <c r="L73" i="2"/>
  <c r="L76" i="2" s="1"/>
  <c r="L59" i="2"/>
  <c r="K61" i="2"/>
  <c r="M73" i="2" l="1"/>
  <c r="M76" i="2" s="1"/>
  <c r="M54" i="2"/>
  <c r="M59" i="2"/>
  <c r="M61" i="2" s="1"/>
  <c r="L61" i="2"/>
  <c r="K107" i="1" l="1"/>
  <c r="K110" i="1"/>
  <c r="K108" i="1"/>
  <c r="K97" i="1"/>
  <c r="K96" i="1"/>
  <c r="K95" i="1"/>
  <c r="K94" i="1"/>
  <c r="K91" i="1"/>
  <c r="K90" i="1"/>
  <c r="K88" i="1"/>
  <c r="K87" i="1"/>
  <c r="K86" i="1"/>
  <c r="K82" i="1"/>
  <c r="K81" i="1"/>
  <c r="K80" i="1"/>
  <c r="K76" i="1"/>
  <c r="K75" i="1"/>
  <c r="K74" i="1"/>
  <c r="K73" i="1"/>
  <c r="K72" i="1"/>
  <c r="K71" i="1"/>
  <c r="K70" i="1"/>
  <c r="K69" i="1"/>
  <c r="K68" i="1"/>
  <c r="K67" i="1"/>
  <c r="L67" i="1" s="1"/>
  <c r="K66" i="1"/>
  <c r="K65" i="1"/>
  <c r="K62" i="1"/>
  <c r="K61" i="1"/>
  <c r="K60" i="1"/>
  <c r="K59" i="1"/>
  <c r="K58" i="1"/>
  <c r="K57" i="1"/>
  <c r="K56" i="1"/>
  <c r="K55" i="1"/>
  <c r="L55" i="1" s="1"/>
  <c r="K54" i="1"/>
  <c r="L54" i="1" s="1"/>
  <c r="K53" i="1"/>
  <c r="K50" i="1"/>
  <c r="L50" i="1" s="1"/>
  <c r="K49" i="1"/>
  <c r="L49" i="1" s="1"/>
  <c r="K48" i="1"/>
  <c r="K47" i="1"/>
  <c r="L47" i="1" s="1"/>
  <c r="K44" i="1"/>
  <c r="K41" i="1"/>
  <c r="K40" i="1"/>
  <c r="K33" i="1"/>
  <c r="K32" i="1"/>
  <c r="K31" i="1"/>
  <c r="K30" i="1"/>
  <c r="K29" i="1"/>
  <c r="K28" i="1"/>
  <c r="K25" i="1"/>
  <c r="K24" i="1"/>
  <c r="K23" i="1"/>
  <c r="K20" i="1"/>
  <c r="K19" i="1"/>
  <c r="K16" i="1"/>
  <c r="K15" i="1"/>
  <c r="K14" i="1"/>
  <c r="K13" i="1"/>
  <c r="K12" i="1"/>
  <c r="K11" i="1"/>
  <c r="K8" i="1"/>
  <c r="K5" i="1"/>
  <c r="K4" i="1"/>
  <c r="G111" i="1"/>
  <c r="F111" i="1"/>
  <c r="I110" i="1"/>
  <c r="H110" i="1"/>
  <c r="G109" i="1"/>
  <c r="F109" i="1"/>
  <c r="F112" i="1" s="1"/>
  <c r="I108" i="1"/>
  <c r="H108" i="1"/>
  <c r="I107" i="1"/>
  <c r="H107" i="1"/>
  <c r="G98" i="1"/>
  <c r="F98" i="1"/>
  <c r="I97" i="1"/>
  <c r="H97" i="1"/>
  <c r="I96" i="1"/>
  <c r="H96" i="1"/>
  <c r="I95" i="1"/>
  <c r="H95" i="1"/>
  <c r="I94" i="1"/>
  <c r="H94" i="1"/>
  <c r="I91" i="1"/>
  <c r="H91" i="1"/>
  <c r="I90" i="1"/>
  <c r="H90" i="1"/>
  <c r="G89" i="1"/>
  <c r="G92" i="1" s="1"/>
  <c r="F89" i="1"/>
  <c r="I88" i="1"/>
  <c r="H88" i="1"/>
  <c r="I87" i="1"/>
  <c r="H87" i="1"/>
  <c r="I86" i="1"/>
  <c r="H86" i="1"/>
  <c r="G83" i="1"/>
  <c r="F83" i="1"/>
  <c r="I82" i="1"/>
  <c r="H82" i="1"/>
  <c r="I81" i="1"/>
  <c r="H81" i="1"/>
  <c r="I80" i="1"/>
  <c r="H80" i="1"/>
  <c r="G78" i="1"/>
  <c r="F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G63" i="1"/>
  <c r="F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G51" i="1"/>
  <c r="F51" i="1"/>
  <c r="I50" i="1"/>
  <c r="H50" i="1"/>
  <c r="I49" i="1"/>
  <c r="H49" i="1"/>
  <c r="I48" i="1"/>
  <c r="H48" i="1"/>
  <c r="I47" i="1"/>
  <c r="H47" i="1"/>
  <c r="I44" i="1"/>
  <c r="H44" i="1"/>
  <c r="F45" i="1"/>
  <c r="I41" i="1"/>
  <c r="H41" i="1"/>
  <c r="I40" i="1"/>
  <c r="H40" i="1"/>
  <c r="I33" i="1"/>
  <c r="H33" i="1"/>
  <c r="I32" i="1"/>
  <c r="H32" i="1"/>
  <c r="I31" i="1"/>
  <c r="H31" i="1"/>
  <c r="I30" i="1"/>
  <c r="H30" i="1"/>
  <c r="I29" i="1"/>
  <c r="H29" i="1"/>
  <c r="I28" i="1"/>
  <c r="H28" i="1"/>
  <c r="G26" i="1"/>
  <c r="F26" i="1"/>
  <c r="I25" i="1"/>
  <c r="H25" i="1"/>
  <c r="I24" i="1"/>
  <c r="H24" i="1"/>
  <c r="I23" i="1"/>
  <c r="H23" i="1"/>
  <c r="G21" i="1"/>
  <c r="F21" i="1"/>
  <c r="I20" i="1"/>
  <c r="H20" i="1"/>
  <c r="I19" i="1"/>
  <c r="H19" i="1"/>
  <c r="G17" i="1"/>
  <c r="F17" i="1"/>
  <c r="I16" i="1"/>
  <c r="H16" i="1"/>
  <c r="I15" i="1"/>
  <c r="H15" i="1"/>
  <c r="I14" i="1"/>
  <c r="H14" i="1"/>
  <c r="I13" i="1"/>
  <c r="H13" i="1"/>
  <c r="I12" i="1"/>
  <c r="H12" i="1"/>
  <c r="I11" i="1"/>
  <c r="H11" i="1"/>
  <c r="G9" i="1"/>
  <c r="F9" i="1"/>
  <c r="I8" i="1"/>
  <c r="H8" i="1"/>
  <c r="I4" i="1"/>
  <c r="H4" i="1"/>
  <c r="K35" i="1" l="1"/>
  <c r="G35" i="1"/>
  <c r="F35" i="1"/>
  <c r="I9" i="1"/>
  <c r="I21" i="1"/>
  <c r="I83" i="1"/>
  <c r="K114" i="1"/>
  <c r="I111" i="1"/>
  <c r="H26" i="1"/>
  <c r="H78" i="1"/>
  <c r="H17" i="1"/>
  <c r="H98" i="1"/>
  <c r="I26" i="1"/>
  <c r="I63" i="1"/>
  <c r="H89" i="1"/>
  <c r="G112" i="1"/>
  <c r="H111" i="1"/>
  <c r="I78" i="1"/>
  <c r="I98" i="1"/>
  <c r="H109" i="1"/>
  <c r="I17" i="1"/>
  <c r="H21" i="1"/>
  <c r="I51" i="1"/>
  <c r="I89" i="1"/>
  <c r="H51" i="1"/>
  <c r="H63" i="1"/>
  <c r="H83" i="1"/>
  <c r="F92" i="1"/>
  <c r="H92" i="1" s="1"/>
  <c r="I109" i="1"/>
  <c r="G45" i="1"/>
  <c r="F113" i="1"/>
  <c r="H9" i="1"/>
  <c r="G113" i="1" l="1"/>
  <c r="H113" i="1" s="1"/>
  <c r="I112" i="1"/>
  <c r="L114" i="1"/>
  <c r="K115" i="1"/>
  <c r="H112" i="1"/>
  <c r="H35" i="1"/>
  <c r="G99" i="1"/>
  <c r="G100" i="1" s="1"/>
  <c r="I45" i="1"/>
  <c r="I92" i="1"/>
  <c r="H45" i="1"/>
  <c r="I35" i="1"/>
  <c r="F99" i="1"/>
  <c r="F114" i="1" s="1"/>
  <c r="F115" i="1" s="1"/>
  <c r="G114" i="1" l="1"/>
  <c r="G115" i="1" s="1"/>
  <c r="I113" i="1"/>
  <c r="I99" i="1"/>
  <c r="H99" i="1"/>
  <c r="H114" i="1" s="1"/>
  <c r="H115" i="1" s="1"/>
  <c r="F100" i="1"/>
  <c r="I100" i="1" s="1"/>
  <c r="H100" i="1" l="1"/>
  <c r="D37" i="2"/>
</calcChain>
</file>

<file path=xl/sharedStrings.xml><?xml version="1.0" encoding="utf-8"?>
<sst xmlns="http://schemas.openxmlformats.org/spreadsheetml/2006/main" count="336" uniqueCount="213">
  <si>
    <t>Jan - Jul 20</t>
  </si>
  <si>
    <t>Budget</t>
  </si>
  <si>
    <t>$ Over Budget</t>
  </si>
  <si>
    <t>% of Budget</t>
  </si>
  <si>
    <t>Income</t>
  </si>
  <si>
    <t>Federal Grants</t>
  </si>
  <si>
    <t>5208 · New Freedom Urban Grant</t>
  </si>
  <si>
    <t>5210 · NON URBAN JARC OPERATIONS GRANT</t>
  </si>
  <si>
    <t>5225 · 5310 Capital Asset Grant 2006</t>
  </si>
  <si>
    <t>Total Federal Grants</t>
  </si>
  <si>
    <t>Government Contributions</t>
  </si>
  <si>
    <t>4500 · Addison Township</t>
  </si>
  <si>
    <t>4520 · Orion Township</t>
  </si>
  <si>
    <t>4540 · Oxford Township</t>
  </si>
  <si>
    <t>4560 · Village of Lake Orion</t>
  </si>
  <si>
    <t>4580 · Village of Leonard</t>
  </si>
  <si>
    <t>4600 · Village of Oxford</t>
  </si>
  <si>
    <t>Total Government Contributions</t>
  </si>
  <si>
    <t>5240 · Community of Mental Health TTI</t>
  </si>
  <si>
    <t>5280 · Specialized Services Grant</t>
  </si>
  <si>
    <t>Total Grants</t>
  </si>
  <si>
    <t>Millage Revenue</t>
  </si>
  <si>
    <t>4700 · Oxford Township Millage Revenue</t>
  </si>
  <si>
    <t>4701 · Orion Township Millage Revenue</t>
  </si>
  <si>
    <t>4702 · Addison Twp Millage Revenue</t>
  </si>
  <si>
    <t>Total Millage Revenue</t>
  </si>
  <si>
    <t>Other Income</t>
  </si>
  <si>
    <t>4020 · Donations</t>
  </si>
  <si>
    <t>4021 · Token Fund for Needy</t>
  </si>
  <si>
    <t>4025 · Fare Income</t>
  </si>
  <si>
    <t>4800 · Interest - Bank</t>
  </si>
  <si>
    <t>5420 · Vehicle Trips</t>
  </si>
  <si>
    <t>5500 · Rental Income</t>
  </si>
  <si>
    <t>Total Other Income</t>
  </si>
  <si>
    <t>4900 · Miscellaneous Income</t>
  </si>
  <si>
    <t>Expense</t>
  </si>
  <si>
    <t>Administration</t>
  </si>
  <si>
    <t>7210 · Administration Salaries</t>
  </si>
  <si>
    <t>7211 · Health Insurance</t>
  </si>
  <si>
    <t>7210 · Administration Salaries - Other</t>
  </si>
  <si>
    <t>7540 · Postage</t>
  </si>
  <si>
    <t>Total Administration</t>
  </si>
  <si>
    <t>Insurance</t>
  </si>
  <si>
    <t>6420 · Vehicle</t>
  </si>
  <si>
    <t>6430 · Workers Compensation</t>
  </si>
  <si>
    <t>6500 · Building Insurance</t>
  </si>
  <si>
    <t>7410 · General</t>
  </si>
  <si>
    <t>Total Insurance</t>
  </si>
  <si>
    <t>Professional Services</t>
  </si>
  <si>
    <t>6600 · Bank Service Charges</t>
  </si>
  <si>
    <t>6670 · Other Professional Services</t>
  </si>
  <si>
    <t>6675 · Payroll Services</t>
  </si>
  <si>
    <t>6676 · Snow Removal/Landscaping</t>
  </si>
  <si>
    <t>6677 · Janitorial Services</t>
  </si>
  <si>
    <t>6678 · Employee Assistance Program</t>
  </si>
  <si>
    <t>6679 · Dispatch Software</t>
  </si>
  <si>
    <t>6681 · Computer Services</t>
  </si>
  <si>
    <t>7655 · Audit</t>
  </si>
  <si>
    <t>7665 · Legal</t>
  </si>
  <si>
    <t>Total Professional Services</t>
  </si>
  <si>
    <t>Program Costs</t>
  </si>
  <si>
    <t>6502 · Vehicle Fees</t>
  </si>
  <si>
    <t>6503 · Towing</t>
  </si>
  <si>
    <t>6505 · Utilities</t>
  </si>
  <si>
    <t>6510 · Office Telephone &amp; Internet</t>
  </si>
  <si>
    <t>6512 · Driver two way phones</t>
  </si>
  <si>
    <t>6520 · Office Supplies-Program</t>
  </si>
  <si>
    <t>6521 · Leasing Expense</t>
  </si>
  <si>
    <t>6522 · Building Expenses</t>
  </si>
  <si>
    <t>6525 · Uniforms</t>
  </si>
  <si>
    <t>6530 · Advertising</t>
  </si>
  <si>
    <t>6540 · Drug and Alcohol Driver Testing</t>
  </si>
  <si>
    <t>6555 · Maintenance</t>
  </si>
  <si>
    <t>8001 · Contingency</t>
  </si>
  <si>
    <t>Total Program Costs</t>
  </si>
  <si>
    <t>Repairs and Maintenance</t>
  </si>
  <si>
    <t>6310 · Fuel</t>
  </si>
  <si>
    <t>6350 · Vehicle Maintenance</t>
  </si>
  <si>
    <t>6360 · Vehicle Repairs</t>
  </si>
  <si>
    <t>Total Repairs and Maintenance</t>
  </si>
  <si>
    <t>Salaries and Wages</t>
  </si>
  <si>
    <t>Payroll Taxes</t>
  </si>
  <si>
    <t>6110 · FICA Employers Expense</t>
  </si>
  <si>
    <t>6120 · Unemployment Expense</t>
  </si>
  <si>
    <t>6130 · MI Obligation</t>
  </si>
  <si>
    <t>Total Payroll Taxes</t>
  </si>
  <si>
    <t>6020 · Drivers</t>
  </si>
  <si>
    <t>6040 · Dispatchers</t>
  </si>
  <si>
    <t>Total Salaries and Wages</t>
  </si>
  <si>
    <t>6630 · Professional Development</t>
  </si>
  <si>
    <t>6610 · Community Development</t>
  </si>
  <si>
    <t>6615 · Mileage/Parking</t>
  </si>
  <si>
    <t>6620 · Miscellaneous</t>
  </si>
  <si>
    <t>6625 · Seminars and Conferences</t>
  </si>
  <si>
    <t>Total 6630 · Professional Development</t>
  </si>
  <si>
    <t>Total Expense</t>
  </si>
  <si>
    <t>Net Ordinary Income</t>
  </si>
  <si>
    <t>Other Income/Expense</t>
  </si>
  <si>
    <t>4870 · Interest</t>
  </si>
  <si>
    <t>Other Expense</t>
  </si>
  <si>
    <t>Capital Expenses</t>
  </si>
  <si>
    <t>6380 · Office Capital</t>
  </si>
  <si>
    <t>6390 · Vehicle Expenses</t>
  </si>
  <si>
    <t>Total Capital Expenses</t>
  </si>
  <si>
    <t>6970 · Vehicle Depreciation</t>
  </si>
  <si>
    <t>Total Depreciation</t>
  </si>
  <si>
    <t>Total Other Expense</t>
  </si>
  <si>
    <t>Net Other Income</t>
  </si>
  <si>
    <t>Adjustments to 2020</t>
  </si>
  <si>
    <t>ADJUSTED 2020</t>
  </si>
  <si>
    <t>New Freedom Non Urban Grant</t>
  </si>
  <si>
    <t>Current</t>
  </si>
  <si>
    <t>Proposed</t>
  </si>
  <si>
    <t>Estimate</t>
  </si>
  <si>
    <t>Revenue:</t>
  </si>
  <si>
    <t>Tax Millage Revenue</t>
  </si>
  <si>
    <t>Federal and State Grants</t>
  </si>
  <si>
    <t>TTI</t>
  </si>
  <si>
    <t>Fare Income $1/$2</t>
  </si>
  <si>
    <t>Donations/Misc</t>
  </si>
  <si>
    <t>Total Revenue</t>
  </si>
  <si>
    <t>Expenses:</t>
  </si>
  <si>
    <t>Drivers</t>
  </si>
  <si>
    <t>Dispatch</t>
  </si>
  <si>
    <t>Director</t>
  </si>
  <si>
    <t>Operations Manager</t>
  </si>
  <si>
    <t>Total Salary</t>
  </si>
  <si>
    <t>Vehicle Replacement Costs</t>
  </si>
  <si>
    <t>Contingency</t>
  </si>
  <si>
    <t>Operating Budgeted items</t>
  </si>
  <si>
    <t>Total Expenses</t>
  </si>
  <si>
    <t>Taxable Value</t>
  </si>
  <si>
    <t>CIA Capture</t>
  </si>
  <si>
    <t>DDA Capture</t>
  </si>
  <si>
    <t>NET SEV</t>
  </si>
  <si>
    <t>Estimate of Net Millage Received from .25 mils</t>
  </si>
  <si>
    <t>Less: Tax Rollbacks, DDA and CIA</t>
  </si>
  <si>
    <t>Actual net millage rate received by NOTA is:</t>
  </si>
  <si>
    <t xml:space="preserve">By Community: </t>
  </si>
  <si>
    <t>Tax Value</t>
  </si>
  <si>
    <t>Actual Millage</t>
  </si>
  <si>
    <t>Orion</t>
  </si>
  <si>
    <t>Oxford</t>
  </si>
  <si>
    <t>Addison</t>
  </si>
  <si>
    <t>By Community:</t>
  </si>
  <si>
    <t>By Community: DDA Capture</t>
  </si>
  <si>
    <t>Addison NO DDA</t>
  </si>
  <si>
    <t>Orion Twp CIA Capture</t>
  </si>
  <si>
    <t>By Community: Net Tax Value</t>
  </si>
  <si>
    <t>`</t>
  </si>
  <si>
    <t>Increase (Decrease) Net Position</t>
  </si>
  <si>
    <t>Rental Income</t>
  </si>
  <si>
    <t>Proposed Increase</t>
  </si>
  <si>
    <t>Description</t>
  </si>
  <si>
    <t>Hours/Day</t>
  </si>
  <si>
    <t>Hrs/Week</t>
  </si>
  <si>
    <t>Hourly Rate</t>
  </si>
  <si>
    <t>Payroll</t>
  </si>
  <si>
    <t>FICA</t>
  </si>
  <si>
    <t>Unemp</t>
  </si>
  <si>
    <t>MI Oblig</t>
  </si>
  <si>
    <t>Total</t>
  </si>
  <si>
    <t>Driver Salary</t>
  </si>
  <si>
    <t xml:space="preserve">Monday to Friday - 15 Routes </t>
  </si>
  <si>
    <t>Saturday - 2 routes</t>
  </si>
  <si>
    <t>Sunday - 2 routes</t>
  </si>
  <si>
    <t>Benefits for Full Time</t>
  </si>
  <si>
    <t>7 Holidays x 9 routes x 8 hrs</t>
  </si>
  <si>
    <t>Funeral Leave/Jury Duty</t>
  </si>
  <si>
    <t># Employees</t>
  </si>
  <si>
    <t>PTO Part Time &gt; 5 yrs</t>
  </si>
  <si>
    <t>PTO Part Time &lt; 1-5 yrs</t>
  </si>
  <si>
    <t>PTO Full Time &gt; 5 yrs</t>
  </si>
  <si>
    <t>PTO Full Time &lt; 1-5 yr</t>
  </si>
  <si>
    <t>PTO Full Time &lt; 1 yr</t>
  </si>
  <si>
    <t>Dispatch Salary</t>
  </si>
  <si>
    <t xml:space="preserve">Monday to Friday - 3 share </t>
  </si>
  <si>
    <t>Head Dispatch</t>
  </si>
  <si>
    <t>Administration Salary</t>
  </si>
  <si>
    <t>Lynn Gustafson, Director</t>
  </si>
  <si>
    <t>no change</t>
  </si>
  <si>
    <t>Mike Joslyn, Operations Manager</t>
  </si>
  <si>
    <t>Administrative Salary</t>
  </si>
  <si>
    <t>Current Rate:</t>
  </si>
  <si>
    <t>Adjusted 2021 Rate:</t>
  </si>
  <si>
    <t>Driver/Dispatch</t>
  </si>
  <si>
    <t>Oper Mgr</t>
  </si>
  <si>
    <t>Effective Rate</t>
  </si>
  <si>
    <t>Actual Revenue</t>
  </si>
  <si>
    <t>2010 Census Population</t>
  </si>
  <si>
    <t>August 2019 to July 2020 Ridership</t>
  </si>
  <si>
    <t>TOWNSHIP</t>
  </si>
  <si>
    <t>POPULATION</t>
  </si>
  <si>
    <t>% POPULATION</t>
  </si>
  <si>
    <t>1/2 PERCENT</t>
  </si>
  <si>
    <t>RIDERSHIP</t>
  </si>
  <si>
    <t>% RIDERSHIP</t>
  </si>
  <si>
    <t>ADDISON</t>
  </si>
  <si>
    <t>ORION</t>
  </si>
  <si>
    <t>OXFORD</t>
  </si>
  <si>
    <t>TOTAL %</t>
  </si>
  <si>
    <t>Cost Share</t>
  </si>
  <si>
    <t>2021 Cost Share</t>
  </si>
  <si>
    <t>BY COMMUNITY</t>
  </si>
  <si>
    <t>By Community</t>
  </si>
  <si>
    <t>Difference</t>
  </si>
  <si>
    <t>CARES Act Grant</t>
  </si>
  <si>
    <t>Difference between 2-3%</t>
  </si>
  <si>
    <t>Difference between 0 -2%</t>
  </si>
  <si>
    <t>Difference between 0-3%</t>
  </si>
  <si>
    <t>APPROVED BUDGET 2021</t>
  </si>
  <si>
    <t>Other Grants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</si>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</sst>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.00;\-#,##0.00"/>
    <numFmt numFmtId="165" formatCode="#,##0.0#%;\-#,##0.0#%"/>
    <numFmt numFmtId="166" formatCode="&quot;$&quot;#,##0"/>
    <numFmt numFmtId="167" formatCode="0.0000"/>
    <numFmt numFmtId="168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b/>
      <sz val="12"/>
      <name val="Calibri Light"/>
      <family val="1"/>
      <scheme val="major"/>
    </font>
    <font>
      <sz val="14"/>
      <name val="Calibri Light"/>
      <family val="1"/>
      <scheme val="major"/>
    </font>
    <font>
      <b/>
      <sz val="10"/>
      <name val="Calibri Light"/>
      <family val="1"/>
      <scheme val="major"/>
    </font>
    <font>
      <u/>
      <sz val="10"/>
      <name val="Arial"/>
      <family val="2"/>
    </font>
    <font>
      <b/>
      <sz val="11"/>
      <color rgb="FF000000"/>
      <name val="Verdana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54">
    <xf numFmtId="0" fontId="0" fillId="0" borderId="0" xfId="0"/>
    <xf numFmtId="164" fontId="3" fillId="0" borderId="0" xfId="0" applyNumberFormat="1" applyFont="1"/>
    <xf numFmtId="165" fontId="3" fillId="0" borderId="0" xfId="0" applyNumberFormat="1" applyFont="1"/>
    <xf numFmtId="164" fontId="3" fillId="0" borderId="2" xfId="0" applyNumberFormat="1" applyFont="1" applyBorder="1"/>
    <xf numFmtId="165" fontId="3" fillId="0" borderId="2" xfId="0" applyNumberFormat="1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164" fontId="3" fillId="0" borderId="4" xfId="0" applyNumberFormat="1" applyFont="1" applyBorder="1"/>
    <xf numFmtId="165" fontId="3" fillId="0" borderId="4" xfId="0" applyNumberFormat="1" applyFont="1" applyBorder="1"/>
    <xf numFmtId="164" fontId="3" fillId="0" borderId="3" xfId="0" applyNumberFormat="1" applyFont="1" applyBorder="1"/>
    <xf numFmtId="165" fontId="3" fillId="0" borderId="3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/>
    <xf numFmtId="164" fontId="3" fillId="0" borderId="0" xfId="0" applyNumberFormat="1" applyFont="1"/>
    <xf numFmtId="165" fontId="3" fillId="0" borderId="0" xfId="0" applyNumberFormat="1" applyFont="1"/>
    <xf numFmtId="44" fontId="4" fillId="0" borderId="0" xfId="1" applyFont="1"/>
    <xf numFmtId="44" fontId="5" fillId="0" borderId="0" xfId="1" applyFont="1"/>
    <xf numFmtId="0" fontId="7" fillId="0" borderId="0" xfId="3" applyFont="1"/>
    <xf numFmtId="0" fontId="8" fillId="0" borderId="0" xfId="3" applyFont="1" applyAlignment="1">
      <alignment horizontal="center"/>
    </xf>
    <xf numFmtId="0" fontId="8" fillId="2" borderId="7" xfId="3" applyFont="1" applyFill="1" applyBorder="1" applyAlignment="1">
      <alignment horizontal="center"/>
    </xf>
    <xf numFmtId="0" fontId="9" fillId="0" borderId="0" xfId="3" applyFont="1"/>
    <xf numFmtId="0" fontId="8" fillId="0" borderId="9" xfId="3" applyFont="1" applyBorder="1" applyAlignment="1">
      <alignment horizontal="center"/>
    </xf>
    <xf numFmtId="0" fontId="8" fillId="0" borderId="10" xfId="3" applyFont="1" applyBorder="1" applyAlignment="1">
      <alignment horizontal="center"/>
    </xf>
    <xf numFmtId="0" fontId="8" fillId="0" borderId="11" xfId="3" applyFont="1" applyBorder="1" applyAlignment="1">
      <alignment horizontal="center"/>
    </xf>
    <xf numFmtId="0" fontId="8" fillId="0" borderId="12" xfId="3" applyFont="1" applyBorder="1" applyAlignment="1">
      <alignment horizontal="center"/>
    </xf>
    <xf numFmtId="0" fontId="8" fillId="0" borderId="0" xfId="3" applyFont="1"/>
    <xf numFmtId="166" fontId="7" fillId="0" borderId="0" xfId="3" applyNumberFormat="1" applyFont="1"/>
    <xf numFmtId="166" fontId="10" fillId="0" borderId="0" xfId="4" applyNumberFormat="1" applyFont="1"/>
    <xf numFmtId="166" fontId="7" fillId="0" borderId="0" xfId="4" applyNumberFormat="1" applyFont="1" applyFill="1"/>
    <xf numFmtId="166" fontId="7" fillId="0" borderId="13" xfId="3" applyNumberFormat="1" applyFont="1" applyBorder="1"/>
    <xf numFmtId="44" fontId="10" fillId="0" borderId="0" xfId="4" applyFont="1"/>
    <xf numFmtId="166" fontId="10" fillId="0" borderId="6" xfId="4" applyNumberFormat="1" applyFont="1" applyBorder="1"/>
    <xf numFmtId="6" fontId="7" fillId="0" borderId="0" xfId="3" applyNumberFormat="1" applyFont="1"/>
    <xf numFmtId="6" fontId="7" fillId="0" borderId="13" xfId="3" applyNumberFormat="1" applyFont="1" applyBorder="1"/>
    <xf numFmtId="166" fontId="11" fillId="0" borderId="0" xfId="3" applyNumberFormat="1" applyFont="1" applyAlignment="1">
      <alignment horizontal="center"/>
    </xf>
    <xf numFmtId="0" fontId="8" fillId="0" borderId="0" xfId="3" applyFont="1" applyAlignment="1">
      <alignment wrapText="1"/>
    </xf>
    <xf numFmtId="166" fontId="7" fillId="0" borderId="6" xfId="3" applyNumberFormat="1" applyFont="1" applyBorder="1"/>
    <xf numFmtId="0" fontId="11" fillId="0" borderId="0" xfId="3" applyFont="1" applyAlignment="1">
      <alignment wrapText="1"/>
    </xf>
    <xf numFmtId="166" fontId="8" fillId="0" borderId="6" xfId="3" applyNumberFormat="1" applyFont="1" applyBorder="1"/>
    <xf numFmtId="0" fontId="8" fillId="0" borderId="14" xfId="3" applyFont="1" applyBorder="1"/>
    <xf numFmtId="0" fontId="8" fillId="0" borderId="15" xfId="3" applyFont="1" applyBorder="1" applyAlignment="1">
      <alignment horizontal="center"/>
    </xf>
    <xf numFmtId="0" fontId="8" fillId="0" borderId="8" xfId="3" applyFont="1" applyBorder="1"/>
    <xf numFmtId="0" fontId="8" fillId="2" borderId="12" xfId="3" applyFont="1" applyFill="1" applyBorder="1"/>
    <xf numFmtId="166" fontId="7" fillId="0" borderId="16" xfId="3" applyNumberFormat="1" applyFont="1" applyBorder="1"/>
    <xf numFmtId="167" fontId="8" fillId="2" borderId="12" xfId="3" applyNumberFormat="1" applyFont="1" applyFill="1" applyBorder="1"/>
    <xf numFmtId="166" fontId="7" fillId="0" borderId="17" xfId="3" applyNumberFormat="1" applyFont="1" applyBorder="1"/>
    <xf numFmtId="0" fontId="7" fillId="0" borderId="8" xfId="3" applyFont="1" applyBorder="1"/>
    <xf numFmtId="0" fontId="7" fillId="0" borderId="16" xfId="3" applyFont="1" applyBorder="1"/>
    <xf numFmtId="166" fontId="7" fillId="0" borderId="18" xfId="3" applyNumberFormat="1" applyFont="1" applyBorder="1"/>
    <xf numFmtId="0" fontId="8" fillId="2" borderId="20" xfId="3" applyFont="1" applyFill="1" applyBorder="1"/>
    <xf numFmtId="167" fontId="7" fillId="0" borderId="0" xfId="2" applyNumberFormat="1" applyFont="1" applyBorder="1"/>
    <xf numFmtId="166" fontId="11" fillId="0" borderId="16" xfId="3" applyNumberFormat="1" applyFont="1" applyBorder="1"/>
    <xf numFmtId="166" fontId="11" fillId="0" borderId="18" xfId="3" applyNumberFormat="1" applyFont="1" applyBorder="1"/>
    <xf numFmtId="0" fontId="8" fillId="0" borderId="21" xfId="3" applyFont="1" applyBorder="1"/>
    <xf numFmtId="166" fontId="7" fillId="0" borderId="2" xfId="3" applyNumberFormat="1" applyFont="1" applyBorder="1"/>
    <xf numFmtId="166" fontId="11" fillId="0" borderId="22" xfId="3" applyNumberFormat="1" applyFont="1" applyBorder="1"/>
    <xf numFmtId="44" fontId="5" fillId="2" borderId="12" xfId="1" applyFont="1" applyFill="1" applyBorder="1" applyAlignment="1">
      <alignment horizontal="center" wrapText="1"/>
    </xf>
    <xf numFmtId="164" fontId="3" fillId="0" borderId="0" xfId="0" applyNumberFormat="1" applyFont="1" applyFill="1"/>
    <xf numFmtId="165" fontId="3" fillId="0" borderId="0" xfId="0" applyNumberFormat="1" applyFont="1" applyFill="1"/>
    <xf numFmtId="0" fontId="0" fillId="0" borderId="0" xfId="0" applyFill="1"/>
    <xf numFmtId="44" fontId="5" fillId="0" borderId="24" xfId="1" applyFont="1" applyBorder="1"/>
    <xf numFmtId="44" fontId="12" fillId="0" borderId="23" xfId="1" applyFont="1" applyBorder="1"/>
    <xf numFmtId="164" fontId="13" fillId="0" borderId="0" xfId="0" applyNumberFormat="1" applyFont="1"/>
    <xf numFmtId="165" fontId="13" fillId="0" borderId="0" xfId="0" applyNumberFormat="1" applyFont="1"/>
    <xf numFmtId="0" fontId="14" fillId="0" borderId="0" xfId="0" applyFont="1"/>
    <xf numFmtId="44" fontId="0" fillId="0" borderId="0" xfId="0" applyNumberFormat="1"/>
    <xf numFmtId="49" fontId="15" fillId="0" borderId="0" xfId="0" applyNumberFormat="1" applyFont="1"/>
    <xf numFmtId="49" fontId="15" fillId="0" borderId="0" xfId="0" applyNumberFormat="1" applyFont="1" applyAlignment="1">
      <alignment horizontal="center"/>
    </xf>
    <xf numFmtId="49" fontId="16" fillId="0" borderId="0" xfId="0" applyNumberFormat="1" applyFont="1"/>
    <xf numFmtId="49" fontId="15" fillId="0" borderId="0" xfId="0" applyNumberFormat="1" applyFont="1" applyFill="1"/>
    <xf numFmtId="0" fontId="15" fillId="0" borderId="0" xfId="0" applyNumberFormat="1" applyFont="1"/>
    <xf numFmtId="44" fontId="14" fillId="0" borderId="12" xfId="1" applyFont="1" applyBorder="1"/>
    <xf numFmtId="44" fontId="4" fillId="0" borderId="12" xfId="1" applyFont="1" applyBorder="1"/>
    <xf numFmtId="44" fontId="4" fillId="0" borderId="12" xfId="1" applyFont="1" applyFill="1" applyBorder="1"/>
    <xf numFmtId="0" fontId="17" fillId="0" borderId="0" xfId="0" applyFont="1"/>
    <xf numFmtId="8" fontId="17" fillId="3" borderId="25" xfId="0" applyNumberFormat="1" applyFont="1" applyFill="1" applyBorder="1"/>
    <xf numFmtId="9" fontId="17" fillId="3" borderId="25" xfId="2" applyFont="1" applyFill="1" applyBorder="1"/>
    <xf numFmtId="10" fontId="17" fillId="0" borderId="25" xfId="2" applyNumberFormat="1" applyFont="1" applyFill="1" applyBorder="1"/>
    <xf numFmtId="8" fontId="17" fillId="0" borderId="0" xfId="0" applyNumberFormat="1" applyFont="1"/>
    <xf numFmtId="10" fontId="17" fillId="0" borderId="0" xfId="2" applyNumberFormat="1" applyFont="1" applyFill="1" applyBorder="1"/>
    <xf numFmtId="0" fontId="17" fillId="2" borderId="26" xfId="0" applyFont="1" applyFill="1" applyBorder="1" applyAlignment="1">
      <alignment horizontal="center" wrapText="1"/>
    </xf>
    <xf numFmtId="0" fontId="17" fillId="2" borderId="12" xfId="0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4" borderId="25" xfId="0" applyFont="1" applyFill="1" applyBorder="1"/>
    <xf numFmtId="8" fontId="0" fillId="0" borderId="0" xfId="0" applyNumberFormat="1"/>
    <xf numFmtId="0" fontId="17" fillId="0" borderId="13" xfId="0" applyFont="1" applyBorder="1"/>
    <xf numFmtId="0" fontId="0" fillId="0" borderId="13" xfId="0" applyBorder="1"/>
    <xf numFmtId="0" fontId="18" fillId="0" borderId="0" xfId="5" applyFont="1"/>
    <xf numFmtId="0" fontId="6" fillId="0" borderId="0" xfId="5"/>
    <xf numFmtId="0" fontId="17" fillId="4" borderId="0" xfId="0" applyFont="1" applyFill="1"/>
    <xf numFmtId="8" fontId="17" fillId="0" borderId="27" xfId="0" applyNumberFormat="1" applyFont="1" applyBorder="1"/>
    <xf numFmtId="0" fontId="17" fillId="5" borderId="0" xfId="0" applyFont="1" applyFill="1"/>
    <xf numFmtId="44" fontId="0" fillId="0" borderId="0" xfId="1" applyFont="1"/>
    <xf numFmtId="0" fontId="0" fillId="6" borderId="0" xfId="0" applyFill="1"/>
    <xf numFmtId="0" fontId="17" fillId="0" borderId="0" xfId="0" applyFont="1" applyAlignment="1">
      <alignment horizontal="center"/>
    </xf>
    <xf numFmtId="9" fontId="0" fillId="0" borderId="0" xfId="0" applyNumberFormat="1"/>
    <xf numFmtId="0" fontId="0" fillId="7" borderId="0" xfId="0" applyFill="1"/>
    <xf numFmtId="8" fontId="17" fillId="7" borderId="27" xfId="0" applyNumberFormat="1" applyFont="1" applyFill="1" applyBorder="1"/>
    <xf numFmtId="0" fontId="6" fillId="0" borderId="0" xfId="5" applyFont="1"/>
    <xf numFmtId="8" fontId="0" fillId="0" borderId="0" xfId="1" applyNumberFormat="1" applyFont="1"/>
    <xf numFmtId="166" fontId="10" fillId="0" borderId="13" xfId="4" applyNumberFormat="1" applyFont="1" applyBorder="1" applyAlignment="1"/>
    <xf numFmtId="166" fontId="7" fillId="0" borderId="28" xfId="3" applyNumberFormat="1" applyFont="1" applyBorder="1"/>
    <xf numFmtId="166" fontId="10" fillId="0" borderId="28" xfId="4" applyNumberFormat="1" applyFont="1" applyBorder="1"/>
    <xf numFmtId="166" fontId="7" fillId="0" borderId="28" xfId="4" applyNumberFormat="1" applyFont="1" applyFill="1" applyBorder="1"/>
    <xf numFmtId="166" fontId="7" fillId="0" borderId="29" xfId="3" applyNumberFormat="1" applyFont="1" applyBorder="1"/>
    <xf numFmtId="44" fontId="10" fillId="0" borderId="28" xfId="4" applyFont="1" applyBorder="1"/>
    <xf numFmtId="166" fontId="10" fillId="0" borderId="10" xfId="4" applyNumberFormat="1" applyFont="1" applyBorder="1"/>
    <xf numFmtId="6" fontId="7" fillId="0" borderId="28" xfId="3" applyNumberFormat="1" applyFont="1" applyBorder="1"/>
    <xf numFmtId="6" fontId="7" fillId="0" borderId="29" xfId="3" applyNumberFormat="1" applyFont="1" applyBorder="1"/>
    <xf numFmtId="166" fontId="7" fillId="0" borderId="10" xfId="3" applyNumberFormat="1" applyFont="1" applyBorder="1"/>
    <xf numFmtId="166" fontId="8" fillId="0" borderId="10" xfId="3" applyNumberFormat="1" applyFont="1" applyBorder="1"/>
    <xf numFmtId="0" fontId="8" fillId="2" borderId="25" xfId="3" applyFont="1" applyFill="1" applyBorder="1"/>
    <xf numFmtId="166" fontId="8" fillId="0" borderId="30" xfId="3" applyNumberFormat="1" applyFont="1" applyBorder="1" applyAlignment="1">
      <alignment horizontal="center"/>
    </xf>
    <xf numFmtId="0" fontId="8" fillId="2" borderId="31" xfId="3" applyFont="1" applyFill="1" applyBorder="1"/>
    <xf numFmtId="0" fontId="8" fillId="2" borderId="25" xfId="3" applyFont="1" applyFill="1" applyBorder="1" applyAlignment="1">
      <alignment horizontal="center"/>
    </xf>
    <xf numFmtId="0" fontId="19" fillId="0" borderId="0" xfId="3" applyFont="1"/>
    <xf numFmtId="0" fontId="20" fillId="0" borderId="19" xfId="3" applyFont="1" applyBorder="1" applyAlignment="1">
      <alignment horizontal="left"/>
    </xf>
    <xf numFmtId="0" fontId="19" fillId="0" borderId="3" xfId="3" applyFont="1" applyBorder="1"/>
    <xf numFmtId="0" fontId="19" fillId="0" borderId="20" xfId="3" applyFont="1" applyBorder="1"/>
    <xf numFmtId="0" fontId="20" fillId="0" borderId="0" xfId="3" applyFont="1"/>
    <xf numFmtId="0" fontId="20" fillId="0" borderId="0" xfId="3" applyFont="1" applyAlignment="1">
      <alignment horizontal="center"/>
    </xf>
    <xf numFmtId="0" fontId="21" fillId="0" borderId="12" xfId="3" applyFont="1" applyBorder="1"/>
    <xf numFmtId="10" fontId="21" fillId="0" borderId="12" xfId="6" applyNumberFormat="1" applyFont="1" applyBorder="1"/>
    <xf numFmtId="3" fontId="21" fillId="0" borderId="12" xfId="3" applyNumberFormat="1" applyFont="1" applyBorder="1"/>
    <xf numFmtId="0" fontId="20" fillId="8" borderId="0" xfId="3" applyFont="1" applyFill="1" applyAlignment="1">
      <alignment horizontal="center"/>
    </xf>
    <xf numFmtId="42" fontId="21" fillId="0" borderId="12" xfId="4" applyNumberFormat="1" applyFont="1" applyBorder="1"/>
    <xf numFmtId="42" fontId="21" fillId="8" borderId="12" xfId="4" applyNumberFormat="1" applyFont="1" applyFill="1" applyBorder="1"/>
    <xf numFmtId="42" fontId="21" fillId="8" borderId="12" xfId="6" applyNumberFormat="1" applyFont="1" applyFill="1" applyBorder="1"/>
    <xf numFmtId="42" fontId="21" fillId="0" borderId="0" xfId="4" applyNumberFormat="1" applyFont="1" applyBorder="1"/>
    <xf numFmtId="0" fontId="22" fillId="0" borderId="0" xfId="3" applyFont="1"/>
    <xf numFmtId="1" fontId="19" fillId="0" borderId="0" xfId="3" applyNumberFormat="1" applyFont="1"/>
    <xf numFmtId="168" fontId="6" fillId="0" borderId="0" xfId="3" applyNumberFormat="1"/>
    <xf numFmtId="4" fontId="6" fillId="0" borderId="0" xfId="3" applyNumberFormat="1"/>
    <xf numFmtId="0" fontId="6" fillId="0" borderId="0" xfId="3"/>
    <xf numFmtId="4" fontId="23" fillId="0" borderId="0" xfId="3" applyNumberFormat="1" applyFont="1"/>
    <xf numFmtId="9" fontId="0" fillId="7" borderId="0" xfId="0" applyNumberFormat="1" applyFill="1"/>
    <xf numFmtId="0" fontId="8" fillId="2" borderId="0" xfId="3" applyFont="1" applyFill="1" applyBorder="1" applyAlignment="1">
      <alignment horizontal="center"/>
    </xf>
    <xf numFmtId="0" fontId="8" fillId="2" borderId="0" xfId="3" applyFont="1" applyFill="1" applyAlignment="1">
      <alignment horizontal="center"/>
    </xf>
    <xf numFmtId="0" fontId="8" fillId="0" borderId="8" xfId="3" applyFont="1" applyBorder="1" applyAlignment="1">
      <alignment horizontal="left"/>
    </xf>
    <xf numFmtId="0" fontId="8" fillId="0" borderId="16" xfId="3" applyFont="1" applyBorder="1" applyAlignment="1">
      <alignment horizontal="left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64" fontId="2" fillId="0" borderId="0" xfId="0" applyNumberFormat="1" applyFont="1"/>
    <xf numFmtId="165" fontId="2" fillId="0" borderId="0" xfId="0" applyNumberFormat="1" applyFont="1"/>
    <xf numFmtId="44" fontId="12" fillId="0" borderId="12" xfId="1" applyFont="1" applyBorder="1"/>
    <xf numFmtId="49" fontId="24" fillId="0" borderId="0" xfId="0" applyNumberFormat="1" applyFont="1"/>
    <xf numFmtId="164" fontId="25" fillId="0" borderId="0" xfId="0" applyNumberFormat="1" applyFont="1"/>
    <xf numFmtId="165" fontId="25" fillId="0" borderId="0" xfId="0" applyNumberFormat="1" applyFont="1"/>
    <xf numFmtId="44" fontId="0" fillId="0" borderId="12" xfId="1" applyFont="1" applyBorder="1"/>
    <xf numFmtId="44" fontId="17" fillId="0" borderId="12" xfId="1" applyFont="1" applyBorder="1"/>
  </cellXfs>
  <cellStyles count="7">
    <cellStyle name="Currency" xfId="1" builtinId="4"/>
    <cellStyle name="Currency 2" xfId="4" xr:uid="{782850CA-9C95-4E60-83B0-D75140595EF6}"/>
    <cellStyle name="Normal" xfId="0" builtinId="0"/>
    <cellStyle name="Normal 2" xfId="3" xr:uid="{4B9FEE43-3628-49F0-9436-E8BB1A9BD997}"/>
    <cellStyle name="Normal 4" xfId="5" xr:uid="{626BA0D3-E797-4D91-BBD3-3569565F874C}"/>
    <cellStyle name="Percent" xfId="2" builtinId="5"/>
    <cellStyle name="Percent 2" xfId="6" xr:uid="{B24EB0B6-7D43-4948-A955-69648BE45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%20fun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 Funding 2021"/>
      <sheetName val="Rides"/>
    </sheetNames>
    <sheetDataSet>
      <sheetData sheetId="0"/>
      <sheetData sheetId="1">
        <row r="64">
          <cell r="F64">
            <v>16099</v>
          </cell>
        </row>
        <row r="80">
          <cell r="F80">
            <v>15394</v>
          </cell>
        </row>
        <row r="96">
          <cell r="F96">
            <v>1907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538F-3B99-4993-8B5C-87664AD79B66}">
  <sheetPr>
    <pageSetUpPr fitToPage="1"/>
  </sheetPr>
  <dimension ref="A1:G39"/>
  <sheetViews>
    <sheetView view="pageLayout" topLeftCell="A13" zoomScaleNormal="100" workbookViewId="0">
      <selection activeCell="A26" sqref="A26:XFD26"/>
    </sheetView>
  </sheetViews>
  <sheetFormatPr defaultRowHeight="18" x14ac:dyDescent="0.25"/>
  <cols>
    <col min="1" max="1" width="14.85546875" style="119" customWidth="1"/>
    <col min="2" max="2" width="17.5703125" style="119" customWidth="1"/>
    <col min="3" max="3" width="19.42578125" style="119" customWidth="1"/>
    <col min="4" max="4" width="17.7109375" style="119" customWidth="1"/>
    <col min="5" max="5" width="16.140625" style="119" customWidth="1"/>
    <col min="6" max="6" width="19.42578125" style="119" customWidth="1"/>
    <col min="7" max="7" width="18" style="119" customWidth="1"/>
    <col min="8" max="8" width="14.42578125" style="119" customWidth="1"/>
    <col min="9" max="9" width="17.7109375" style="119" customWidth="1"/>
    <col min="10" max="255" width="9.140625" style="119"/>
    <col min="256" max="256" width="14.85546875" style="119" customWidth="1"/>
    <col min="257" max="257" width="17.5703125" style="119" customWidth="1"/>
    <col min="258" max="258" width="19.42578125" style="119" customWidth="1"/>
    <col min="259" max="259" width="17.7109375" style="119" customWidth="1"/>
    <col min="260" max="260" width="16.140625" style="119" customWidth="1"/>
    <col min="261" max="261" width="19.42578125" style="119" customWidth="1"/>
    <col min="262" max="262" width="18" style="119" customWidth="1"/>
    <col min="263" max="263" width="15" style="119" customWidth="1"/>
    <col min="264" max="264" width="14.42578125" style="119" customWidth="1"/>
    <col min="265" max="265" width="17.7109375" style="119" customWidth="1"/>
    <col min="266" max="511" width="9.140625" style="119"/>
    <col min="512" max="512" width="14.85546875" style="119" customWidth="1"/>
    <col min="513" max="513" width="17.5703125" style="119" customWidth="1"/>
    <col min="514" max="514" width="19.42578125" style="119" customWidth="1"/>
    <col min="515" max="515" width="17.7109375" style="119" customWidth="1"/>
    <col min="516" max="516" width="16.140625" style="119" customWidth="1"/>
    <col min="517" max="517" width="19.42578125" style="119" customWidth="1"/>
    <col min="518" max="518" width="18" style="119" customWidth="1"/>
    <col min="519" max="519" width="15" style="119" customWidth="1"/>
    <col min="520" max="520" width="14.42578125" style="119" customWidth="1"/>
    <col min="521" max="521" width="17.7109375" style="119" customWidth="1"/>
    <col min="522" max="767" width="9.140625" style="119"/>
    <col min="768" max="768" width="14.85546875" style="119" customWidth="1"/>
    <col min="769" max="769" width="17.5703125" style="119" customWidth="1"/>
    <col min="770" max="770" width="19.42578125" style="119" customWidth="1"/>
    <col min="771" max="771" width="17.7109375" style="119" customWidth="1"/>
    <col min="772" max="772" width="16.140625" style="119" customWidth="1"/>
    <col min="773" max="773" width="19.42578125" style="119" customWidth="1"/>
    <col min="774" max="774" width="18" style="119" customWidth="1"/>
    <col min="775" max="775" width="15" style="119" customWidth="1"/>
    <col min="776" max="776" width="14.42578125" style="119" customWidth="1"/>
    <col min="777" max="777" width="17.7109375" style="119" customWidth="1"/>
    <col min="778" max="1023" width="9.140625" style="119"/>
    <col min="1024" max="1024" width="14.85546875" style="119" customWidth="1"/>
    <col min="1025" max="1025" width="17.5703125" style="119" customWidth="1"/>
    <col min="1026" max="1026" width="19.42578125" style="119" customWidth="1"/>
    <col min="1027" max="1027" width="17.7109375" style="119" customWidth="1"/>
    <col min="1028" max="1028" width="16.140625" style="119" customWidth="1"/>
    <col min="1029" max="1029" width="19.42578125" style="119" customWidth="1"/>
    <col min="1030" max="1030" width="18" style="119" customWidth="1"/>
    <col min="1031" max="1031" width="15" style="119" customWidth="1"/>
    <col min="1032" max="1032" width="14.42578125" style="119" customWidth="1"/>
    <col min="1033" max="1033" width="17.7109375" style="119" customWidth="1"/>
    <col min="1034" max="1279" width="9.140625" style="119"/>
    <col min="1280" max="1280" width="14.85546875" style="119" customWidth="1"/>
    <col min="1281" max="1281" width="17.5703125" style="119" customWidth="1"/>
    <col min="1282" max="1282" width="19.42578125" style="119" customWidth="1"/>
    <col min="1283" max="1283" width="17.7109375" style="119" customWidth="1"/>
    <col min="1284" max="1284" width="16.140625" style="119" customWidth="1"/>
    <col min="1285" max="1285" width="19.42578125" style="119" customWidth="1"/>
    <col min="1286" max="1286" width="18" style="119" customWidth="1"/>
    <col min="1287" max="1287" width="15" style="119" customWidth="1"/>
    <col min="1288" max="1288" width="14.42578125" style="119" customWidth="1"/>
    <col min="1289" max="1289" width="17.7109375" style="119" customWidth="1"/>
    <col min="1290" max="1535" width="9.140625" style="119"/>
    <col min="1536" max="1536" width="14.85546875" style="119" customWidth="1"/>
    <col min="1537" max="1537" width="17.5703125" style="119" customWidth="1"/>
    <col min="1538" max="1538" width="19.42578125" style="119" customWidth="1"/>
    <col min="1539" max="1539" width="17.7109375" style="119" customWidth="1"/>
    <col min="1540" max="1540" width="16.140625" style="119" customWidth="1"/>
    <col min="1541" max="1541" width="19.42578125" style="119" customWidth="1"/>
    <col min="1542" max="1542" width="18" style="119" customWidth="1"/>
    <col min="1543" max="1543" width="15" style="119" customWidth="1"/>
    <col min="1544" max="1544" width="14.42578125" style="119" customWidth="1"/>
    <col min="1545" max="1545" width="17.7109375" style="119" customWidth="1"/>
    <col min="1546" max="1791" width="9.140625" style="119"/>
    <col min="1792" max="1792" width="14.85546875" style="119" customWidth="1"/>
    <col min="1793" max="1793" width="17.5703125" style="119" customWidth="1"/>
    <col min="1794" max="1794" width="19.42578125" style="119" customWidth="1"/>
    <col min="1795" max="1795" width="17.7109375" style="119" customWidth="1"/>
    <col min="1796" max="1796" width="16.140625" style="119" customWidth="1"/>
    <col min="1797" max="1797" width="19.42578125" style="119" customWidth="1"/>
    <col min="1798" max="1798" width="18" style="119" customWidth="1"/>
    <col min="1799" max="1799" width="15" style="119" customWidth="1"/>
    <col min="1800" max="1800" width="14.42578125" style="119" customWidth="1"/>
    <col min="1801" max="1801" width="17.7109375" style="119" customWidth="1"/>
    <col min="1802" max="2047" width="9.140625" style="119"/>
    <col min="2048" max="2048" width="14.85546875" style="119" customWidth="1"/>
    <col min="2049" max="2049" width="17.5703125" style="119" customWidth="1"/>
    <col min="2050" max="2050" width="19.42578125" style="119" customWidth="1"/>
    <col min="2051" max="2051" width="17.7109375" style="119" customWidth="1"/>
    <col min="2052" max="2052" width="16.140625" style="119" customWidth="1"/>
    <col min="2053" max="2053" width="19.42578125" style="119" customWidth="1"/>
    <col min="2054" max="2054" width="18" style="119" customWidth="1"/>
    <col min="2055" max="2055" width="15" style="119" customWidth="1"/>
    <col min="2056" max="2056" width="14.42578125" style="119" customWidth="1"/>
    <col min="2057" max="2057" width="17.7109375" style="119" customWidth="1"/>
    <col min="2058" max="2303" width="9.140625" style="119"/>
    <col min="2304" max="2304" width="14.85546875" style="119" customWidth="1"/>
    <col min="2305" max="2305" width="17.5703125" style="119" customWidth="1"/>
    <col min="2306" max="2306" width="19.42578125" style="119" customWidth="1"/>
    <col min="2307" max="2307" width="17.7109375" style="119" customWidth="1"/>
    <col min="2308" max="2308" width="16.140625" style="119" customWidth="1"/>
    <col min="2309" max="2309" width="19.42578125" style="119" customWidth="1"/>
    <col min="2310" max="2310" width="18" style="119" customWidth="1"/>
    <col min="2311" max="2311" width="15" style="119" customWidth="1"/>
    <col min="2312" max="2312" width="14.42578125" style="119" customWidth="1"/>
    <col min="2313" max="2313" width="17.7109375" style="119" customWidth="1"/>
    <col min="2314" max="2559" width="9.140625" style="119"/>
    <col min="2560" max="2560" width="14.85546875" style="119" customWidth="1"/>
    <col min="2561" max="2561" width="17.5703125" style="119" customWidth="1"/>
    <col min="2562" max="2562" width="19.42578125" style="119" customWidth="1"/>
    <col min="2563" max="2563" width="17.7109375" style="119" customWidth="1"/>
    <col min="2564" max="2564" width="16.140625" style="119" customWidth="1"/>
    <col min="2565" max="2565" width="19.42578125" style="119" customWidth="1"/>
    <col min="2566" max="2566" width="18" style="119" customWidth="1"/>
    <col min="2567" max="2567" width="15" style="119" customWidth="1"/>
    <col min="2568" max="2568" width="14.42578125" style="119" customWidth="1"/>
    <col min="2569" max="2569" width="17.7109375" style="119" customWidth="1"/>
    <col min="2570" max="2815" width="9.140625" style="119"/>
    <col min="2816" max="2816" width="14.85546875" style="119" customWidth="1"/>
    <col min="2817" max="2817" width="17.5703125" style="119" customWidth="1"/>
    <col min="2818" max="2818" width="19.42578125" style="119" customWidth="1"/>
    <col min="2819" max="2819" width="17.7109375" style="119" customWidth="1"/>
    <col min="2820" max="2820" width="16.140625" style="119" customWidth="1"/>
    <col min="2821" max="2821" width="19.42578125" style="119" customWidth="1"/>
    <col min="2822" max="2822" width="18" style="119" customWidth="1"/>
    <col min="2823" max="2823" width="15" style="119" customWidth="1"/>
    <col min="2824" max="2824" width="14.42578125" style="119" customWidth="1"/>
    <col min="2825" max="2825" width="17.7109375" style="119" customWidth="1"/>
    <col min="2826" max="3071" width="9.140625" style="119"/>
    <col min="3072" max="3072" width="14.85546875" style="119" customWidth="1"/>
    <col min="3073" max="3073" width="17.5703125" style="119" customWidth="1"/>
    <col min="3074" max="3074" width="19.42578125" style="119" customWidth="1"/>
    <col min="3075" max="3075" width="17.7109375" style="119" customWidth="1"/>
    <col min="3076" max="3076" width="16.140625" style="119" customWidth="1"/>
    <col min="3077" max="3077" width="19.42578125" style="119" customWidth="1"/>
    <col min="3078" max="3078" width="18" style="119" customWidth="1"/>
    <col min="3079" max="3079" width="15" style="119" customWidth="1"/>
    <col min="3080" max="3080" width="14.42578125" style="119" customWidth="1"/>
    <col min="3081" max="3081" width="17.7109375" style="119" customWidth="1"/>
    <col min="3082" max="3327" width="9.140625" style="119"/>
    <col min="3328" max="3328" width="14.85546875" style="119" customWidth="1"/>
    <col min="3329" max="3329" width="17.5703125" style="119" customWidth="1"/>
    <col min="3330" max="3330" width="19.42578125" style="119" customWidth="1"/>
    <col min="3331" max="3331" width="17.7109375" style="119" customWidth="1"/>
    <col min="3332" max="3332" width="16.140625" style="119" customWidth="1"/>
    <col min="3333" max="3333" width="19.42578125" style="119" customWidth="1"/>
    <col min="3334" max="3334" width="18" style="119" customWidth="1"/>
    <col min="3335" max="3335" width="15" style="119" customWidth="1"/>
    <col min="3336" max="3336" width="14.42578125" style="119" customWidth="1"/>
    <col min="3337" max="3337" width="17.7109375" style="119" customWidth="1"/>
    <col min="3338" max="3583" width="9.140625" style="119"/>
    <col min="3584" max="3584" width="14.85546875" style="119" customWidth="1"/>
    <col min="3585" max="3585" width="17.5703125" style="119" customWidth="1"/>
    <col min="3586" max="3586" width="19.42578125" style="119" customWidth="1"/>
    <col min="3587" max="3587" width="17.7109375" style="119" customWidth="1"/>
    <col min="3588" max="3588" width="16.140625" style="119" customWidth="1"/>
    <col min="3589" max="3589" width="19.42578125" style="119" customWidth="1"/>
    <col min="3590" max="3590" width="18" style="119" customWidth="1"/>
    <col min="3591" max="3591" width="15" style="119" customWidth="1"/>
    <col min="3592" max="3592" width="14.42578125" style="119" customWidth="1"/>
    <col min="3593" max="3593" width="17.7109375" style="119" customWidth="1"/>
    <col min="3594" max="3839" width="9.140625" style="119"/>
    <col min="3840" max="3840" width="14.85546875" style="119" customWidth="1"/>
    <col min="3841" max="3841" width="17.5703125" style="119" customWidth="1"/>
    <col min="3842" max="3842" width="19.42578125" style="119" customWidth="1"/>
    <col min="3843" max="3843" width="17.7109375" style="119" customWidth="1"/>
    <col min="3844" max="3844" width="16.140625" style="119" customWidth="1"/>
    <col min="3845" max="3845" width="19.42578125" style="119" customWidth="1"/>
    <col min="3846" max="3846" width="18" style="119" customWidth="1"/>
    <col min="3847" max="3847" width="15" style="119" customWidth="1"/>
    <col min="3848" max="3848" width="14.42578125" style="119" customWidth="1"/>
    <col min="3849" max="3849" width="17.7109375" style="119" customWidth="1"/>
    <col min="3850" max="4095" width="9.140625" style="119"/>
    <col min="4096" max="4096" width="14.85546875" style="119" customWidth="1"/>
    <col min="4097" max="4097" width="17.5703125" style="119" customWidth="1"/>
    <col min="4098" max="4098" width="19.42578125" style="119" customWidth="1"/>
    <col min="4099" max="4099" width="17.7109375" style="119" customWidth="1"/>
    <col min="4100" max="4100" width="16.140625" style="119" customWidth="1"/>
    <col min="4101" max="4101" width="19.42578125" style="119" customWidth="1"/>
    <col min="4102" max="4102" width="18" style="119" customWidth="1"/>
    <col min="4103" max="4103" width="15" style="119" customWidth="1"/>
    <col min="4104" max="4104" width="14.42578125" style="119" customWidth="1"/>
    <col min="4105" max="4105" width="17.7109375" style="119" customWidth="1"/>
    <col min="4106" max="4351" width="9.140625" style="119"/>
    <col min="4352" max="4352" width="14.85546875" style="119" customWidth="1"/>
    <col min="4353" max="4353" width="17.5703125" style="119" customWidth="1"/>
    <col min="4354" max="4354" width="19.42578125" style="119" customWidth="1"/>
    <col min="4355" max="4355" width="17.7109375" style="119" customWidth="1"/>
    <col min="4356" max="4356" width="16.140625" style="119" customWidth="1"/>
    <col min="4357" max="4357" width="19.42578125" style="119" customWidth="1"/>
    <col min="4358" max="4358" width="18" style="119" customWidth="1"/>
    <col min="4359" max="4359" width="15" style="119" customWidth="1"/>
    <col min="4360" max="4360" width="14.42578125" style="119" customWidth="1"/>
    <col min="4361" max="4361" width="17.7109375" style="119" customWidth="1"/>
    <col min="4362" max="4607" width="9.140625" style="119"/>
    <col min="4608" max="4608" width="14.85546875" style="119" customWidth="1"/>
    <col min="4609" max="4609" width="17.5703125" style="119" customWidth="1"/>
    <col min="4610" max="4610" width="19.42578125" style="119" customWidth="1"/>
    <col min="4611" max="4611" width="17.7109375" style="119" customWidth="1"/>
    <col min="4612" max="4612" width="16.140625" style="119" customWidth="1"/>
    <col min="4613" max="4613" width="19.42578125" style="119" customWidth="1"/>
    <col min="4614" max="4614" width="18" style="119" customWidth="1"/>
    <col min="4615" max="4615" width="15" style="119" customWidth="1"/>
    <col min="4616" max="4616" width="14.42578125" style="119" customWidth="1"/>
    <col min="4617" max="4617" width="17.7109375" style="119" customWidth="1"/>
    <col min="4618" max="4863" width="9.140625" style="119"/>
    <col min="4864" max="4864" width="14.85546875" style="119" customWidth="1"/>
    <col min="4865" max="4865" width="17.5703125" style="119" customWidth="1"/>
    <col min="4866" max="4866" width="19.42578125" style="119" customWidth="1"/>
    <col min="4867" max="4867" width="17.7109375" style="119" customWidth="1"/>
    <col min="4868" max="4868" width="16.140625" style="119" customWidth="1"/>
    <col min="4869" max="4869" width="19.42578125" style="119" customWidth="1"/>
    <col min="4870" max="4870" width="18" style="119" customWidth="1"/>
    <col min="4871" max="4871" width="15" style="119" customWidth="1"/>
    <col min="4872" max="4872" width="14.42578125" style="119" customWidth="1"/>
    <col min="4873" max="4873" width="17.7109375" style="119" customWidth="1"/>
    <col min="4874" max="5119" width="9.140625" style="119"/>
    <col min="5120" max="5120" width="14.85546875" style="119" customWidth="1"/>
    <col min="5121" max="5121" width="17.5703125" style="119" customWidth="1"/>
    <col min="5122" max="5122" width="19.42578125" style="119" customWidth="1"/>
    <col min="5123" max="5123" width="17.7109375" style="119" customWidth="1"/>
    <col min="5124" max="5124" width="16.140625" style="119" customWidth="1"/>
    <col min="5125" max="5125" width="19.42578125" style="119" customWidth="1"/>
    <col min="5126" max="5126" width="18" style="119" customWidth="1"/>
    <col min="5127" max="5127" width="15" style="119" customWidth="1"/>
    <col min="5128" max="5128" width="14.42578125" style="119" customWidth="1"/>
    <col min="5129" max="5129" width="17.7109375" style="119" customWidth="1"/>
    <col min="5130" max="5375" width="9.140625" style="119"/>
    <col min="5376" max="5376" width="14.85546875" style="119" customWidth="1"/>
    <col min="5377" max="5377" width="17.5703125" style="119" customWidth="1"/>
    <col min="5378" max="5378" width="19.42578125" style="119" customWidth="1"/>
    <col min="5379" max="5379" width="17.7109375" style="119" customWidth="1"/>
    <col min="5380" max="5380" width="16.140625" style="119" customWidth="1"/>
    <col min="5381" max="5381" width="19.42578125" style="119" customWidth="1"/>
    <col min="5382" max="5382" width="18" style="119" customWidth="1"/>
    <col min="5383" max="5383" width="15" style="119" customWidth="1"/>
    <col min="5384" max="5384" width="14.42578125" style="119" customWidth="1"/>
    <col min="5385" max="5385" width="17.7109375" style="119" customWidth="1"/>
    <col min="5386" max="5631" width="9.140625" style="119"/>
    <col min="5632" max="5632" width="14.85546875" style="119" customWidth="1"/>
    <col min="5633" max="5633" width="17.5703125" style="119" customWidth="1"/>
    <col min="5634" max="5634" width="19.42578125" style="119" customWidth="1"/>
    <col min="5635" max="5635" width="17.7109375" style="119" customWidth="1"/>
    <col min="5636" max="5636" width="16.140625" style="119" customWidth="1"/>
    <col min="5637" max="5637" width="19.42578125" style="119" customWidth="1"/>
    <col min="5638" max="5638" width="18" style="119" customWidth="1"/>
    <col min="5639" max="5639" width="15" style="119" customWidth="1"/>
    <col min="5640" max="5640" width="14.42578125" style="119" customWidth="1"/>
    <col min="5641" max="5641" width="17.7109375" style="119" customWidth="1"/>
    <col min="5642" max="5887" width="9.140625" style="119"/>
    <col min="5888" max="5888" width="14.85546875" style="119" customWidth="1"/>
    <col min="5889" max="5889" width="17.5703125" style="119" customWidth="1"/>
    <col min="5890" max="5890" width="19.42578125" style="119" customWidth="1"/>
    <col min="5891" max="5891" width="17.7109375" style="119" customWidth="1"/>
    <col min="5892" max="5892" width="16.140625" style="119" customWidth="1"/>
    <col min="5893" max="5893" width="19.42578125" style="119" customWidth="1"/>
    <col min="5894" max="5894" width="18" style="119" customWidth="1"/>
    <col min="5895" max="5895" width="15" style="119" customWidth="1"/>
    <col min="5896" max="5896" width="14.42578125" style="119" customWidth="1"/>
    <col min="5897" max="5897" width="17.7109375" style="119" customWidth="1"/>
    <col min="5898" max="6143" width="9.140625" style="119"/>
    <col min="6144" max="6144" width="14.85546875" style="119" customWidth="1"/>
    <col min="6145" max="6145" width="17.5703125" style="119" customWidth="1"/>
    <col min="6146" max="6146" width="19.42578125" style="119" customWidth="1"/>
    <col min="6147" max="6147" width="17.7109375" style="119" customWidth="1"/>
    <col min="6148" max="6148" width="16.140625" style="119" customWidth="1"/>
    <col min="6149" max="6149" width="19.42578125" style="119" customWidth="1"/>
    <col min="6150" max="6150" width="18" style="119" customWidth="1"/>
    <col min="6151" max="6151" width="15" style="119" customWidth="1"/>
    <col min="6152" max="6152" width="14.42578125" style="119" customWidth="1"/>
    <col min="6153" max="6153" width="17.7109375" style="119" customWidth="1"/>
    <col min="6154" max="6399" width="9.140625" style="119"/>
    <col min="6400" max="6400" width="14.85546875" style="119" customWidth="1"/>
    <col min="6401" max="6401" width="17.5703125" style="119" customWidth="1"/>
    <col min="6402" max="6402" width="19.42578125" style="119" customWidth="1"/>
    <col min="6403" max="6403" width="17.7109375" style="119" customWidth="1"/>
    <col min="6404" max="6404" width="16.140625" style="119" customWidth="1"/>
    <col min="6405" max="6405" width="19.42578125" style="119" customWidth="1"/>
    <col min="6406" max="6406" width="18" style="119" customWidth="1"/>
    <col min="6407" max="6407" width="15" style="119" customWidth="1"/>
    <col min="6408" max="6408" width="14.42578125" style="119" customWidth="1"/>
    <col min="6409" max="6409" width="17.7109375" style="119" customWidth="1"/>
    <col min="6410" max="6655" width="9.140625" style="119"/>
    <col min="6656" max="6656" width="14.85546875" style="119" customWidth="1"/>
    <col min="6657" max="6657" width="17.5703125" style="119" customWidth="1"/>
    <col min="6658" max="6658" width="19.42578125" style="119" customWidth="1"/>
    <col min="6659" max="6659" width="17.7109375" style="119" customWidth="1"/>
    <col min="6660" max="6660" width="16.140625" style="119" customWidth="1"/>
    <col min="6661" max="6661" width="19.42578125" style="119" customWidth="1"/>
    <col min="6662" max="6662" width="18" style="119" customWidth="1"/>
    <col min="6663" max="6663" width="15" style="119" customWidth="1"/>
    <col min="6664" max="6664" width="14.42578125" style="119" customWidth="1"/>
    <col min="6665" max="6665" width="17.7109375" style="119" customWidth="1"/>
    <col min="6666" max="6911" width="9.140625" style="119"/>
    <col min="6912" max="6912" width="14.85546875" style="119" customWidth="1"/>
    <col min="6913" max="6913" width="17.5703125" style="119" customWidth="1"/>
    <col min="6914" max="6914" width="19.42578125" style="119" customWidth="1"/>
    <col min="6915" max="6915" width="17.7109375" style="119" customWidth="1"/>
    <col min="6916" max="6916" width="16.140625" style="119" customWidth="1"/>
    <col min="6917" max="6917" width="19.42578125" style="119" customWidth="1"/>
    <col min="6918" max="6918" width="18" style="119" customWidth="1"/>
    <col min="6919" max="6919" width="15" style="119" customWidth="1"/>
    <col min="6920" max="6920" width="14.42578125" style="119" customWidth="1"/>
    <col min="6921" max="6921" width="17.7109375" style="119" customWidth="1"/>
    <col min="6922" max="7167" width="9.140625" style="119"/>
    <col min="7168" max="7168" width="14.85546875" style="119" customWidth="1"/>
    <col min="7169" max="7169" width="17.5703125" style="119" customWidth="1"/>
    <col min="7170" max="7170" width="19.42578125" style="119" customWidth="1"/>
    <col min="7171" max="7171" width="17.7109375" style="119" customWidth="1"/>
    <col min="7172" max="7172" width="16.140625" style="119" customWidth="1"/>
    <col min="7173" max="7173" width="19.42578125" style="119" customWidth="1"/>
    <col min="7174" max="7174" width="18" style="119" customWidth="1"/>
    <col min="7175" max="7175" width="15" style="119" customWidth="1"/>
    <col min="7176" max="7176" width="14.42578125" style="119" customWidth="1"/>
    <col min="7177" max="7177" width="17.7109375" style="119" customWidth="1"/>
    <col min="7178" max="7423" width="9.140625" style="119"/>
    <col min="7424" max="7424" width="14.85546875" style="119" customWidth="1"/>
    <col min="7425" max="7425" width="17.5703125" style="119" customWidth="1"/>
    <col min="7426" max="7426" width="19.42578125" style="119" customWidth="1"/>
    <col min="7427" max="7427" width="17.7109375" style="119" customWidth="1"/>
    <col min="7428" max="7428" width="16.140625" style="119" customWidth="1"/>
    <col min="7429" max="7429" width="19.42578125" style="119" customWidth="1"/>
    <col min="7430" max="7430" width="18" style="119" customWidth="1"/>
    <col min="7431" max="7431" width="15" style="119" customWidth="1"/>
    <col min="7432" max="7432" width="14.42578125" style="119" customWidth="1"/>
    <col min="7433" max="7433" width="17.7109375" style="119" customWidth="1"/>
    <col min="7434" max="7679" width="9.140625" style="119"/>
    <col min="7680" max="7680" width="14.85546875" style="119" customWidth="1"/>
    <col min="7681" max="7681" width="17.5703125" style="119" customWidth="1"/>
    <col min="7682" max="7682" width="19.42578125" style="119" customWidth="1"/>
    <col min="7683" max="7683" width="17.7109375" style="119" customWidth="1"/>
    <col min="7684" max="7684" width="16.140625" style="119" customWidth="1"/>
    <col min="7685" max="7685" width="19.42578125" style="119" customWidth="1"/>
    <col min="7686" max="7686" width="18" style="119" customWidth="1"/>
    <col min="7687" max="7687" width="15" style="119" customWidth="1"/>
    <col min="7688" max="7688" width="14.42578125" style="119" customWidth="1"/>
    <col min="7689" max="7689" width="17.7109375" style="119" customWidth="1"/>
    <col min="7690" max="7935" width="9.140625" style="119"/>
    <col min="7936" max="7936" width="14.85546875" style="119" customWidth="1"/>
    <col min="7937" max="7937" width="17.5703125" style="119" customWidth="1"/>
    <col min="7938" max="7938" width="19.42578125" style="119" customWidth="1"/>
    <col min="7939" max="7939" width="17.7109375" style="119" customWidth="1"/>
    <col min="7940" max="7940" width="16.140625" style="119" customWidth="1"/>
    <col min="7941" max="7941" width="19.42578125" style="119" customWidth="1"/>
    <col min="7942" max="7942" width="18" style="119" customWidth="1"/>
    <col min="7943" max="7943" width="15" style="119" customWidth="1"/>
    <col min="7944" max="7944" width="14.42578125" style="119" customWidth="1"/>
    <col min="7945" max="7945" width="17.7109375" style="119" customWidth="1"/>
    <col min="7946" max="8191" width="9.140625" style="119"/>
    <col min="8192" max="8192" width="14.85546875" style="119" customWidth="1"/>
    <col min="8193" max="8193" width="17.5703125" style="119" customWidth="1"/>
    <col min="8194" max="8194" width="19.42578125" style="119" customWidth="1"/>
    <col min="8195" max="8195" width="17.7109375" style="119" customWidth="1"/>
    <col min="8196" max="8196" width="16.140625" style="119" customWidth="1"/>
    <col min="8197" max="8197" width="19.42578125" style="119" customWidth="1"/>
    <col min="8198" max="8198" width="18" style="119" customWidth="1"/>
    <col min="8199" max="8199" width="15" style="119" customWidth="1"/>
    <col min="8200" max="8200" width="14.42578125" style="119" customWidth="1"/>
    <col min="8201" max="8201" width="17.7109375" style="119" customWidth="1"/>
    <col min="8202" max="8447" width="9.140625" style="119"/>
    <col min="8448" max="8448" width="14.85546875" style="119" customWidth="1"/>
    <col min="8449" max="8449" width="17.5703125" style="119" customWidth="1"/>
    <col min="8450" max="8450" width="19.42578125" style="119" customWidth="1"/>
    <col min="8451" max="8451" width="17.7109375" style="119" customWidth="1"/>
    <col min="8452" max="8452" width="16.140625" style="119" customWidth="1"/>
    <col min="8453" max="8453" width="19.42578125" style="119" customWidth="1"/>
    <col min="8454" max="8454" width="18" style="119" customWidth="1"/>
    <col min="8455" max="8455" width="15" style="119" customWidth="1"/>
    <col min="8456" max="8456" width="14.42578125" style="119" customWidth="1"/>
    <col min="8457" max="8457" width="17.7109375" style="119" customWidth="1"/>
    <col min="8458" max="8703" width="9.140625" style="119"/>
    <col min="8704" max="8704" width="14.85546875" style="119" customWidth="1"/>
    <col min="8705" max="8705" width="17.5703125" style="119" customWidth="1"/>
    <col min="8706" max="8706" width="19.42578125" style="119" customWidth="1"/>
    <col min="8707" max="8707" width="17.7109375" style="119" customWidth="1"/>
    <col min="8708" max="8708" width="16.140625" style="119" customWidth="1"/>
    <col min="8709" max="8709" width="19.42578125" style="119" customWidth="1"/>
    <col min="8710" max="8710" width="18" style="119" customWidth="1"/>
    <col min="8711" max="8711" width="15" style="119" customWidth="1"/>
    <col min="8712" max="8712" width="14.42578125" style="119" customWidth="1"/>
    <col min="8713" max="8713" width="17.7109375" style="119" customWidth="1"/>
    <col min="8714" max="8959" width="9.140625" style="119"/>
    <col min="8960" max="8960" width="14.85546875" style="119" customWidth="1"/>
    <col min="8961" max="8961" width="17.5703125" style="119" customWidth="1"/>
    <col min="8962" max="8962" width="19.42578125" style="119" customWidth="1"/>
    <col min="8963" max="8963" width="17.7109375" style="119" customWidth="1"/>
    <col min="8964" max="8964" width="16.140625" style="119" customWidth="1"/>
    <col min="8965" max="8965" width="19.42578125" style="119" customWidth="1"/>
    <col min="8966" max="8966" width="18" style="119" customWidth="1"/>
    <col min="8967" max="8967" width="15" style="119" customWidth="1"/>
    <col min="8968" max="8968" width="14.42578125" style="119" customWidth="1"/>
    <col min="8969" max="8969" width="17.7109375" style="119" customWidth="1"/>
    <col min="8970" max="9215" width="9.140625" style="119"/>
    <col min="9216" max="9216" width="14.85546875" style="119" customWidth="1"/>
    <col min="9217" max="9217" width="17.5703125" style="119" customWidth="1"/>
    <col min="9218" max="9218" width="19.42578125" style="119" customWidth="1"/>
    <col min="9219" max="9219" width="17.7109375" style="119" customWidth="1"/>
    <col min="9220" max="9220" width="16.140625" style="119" customWidth="1"/>
    <col min="9221" max="9221" width="19.42578125" style="119" customWidth="1"/>
    <col min="9222" max="9222" width="18" style="119" customWidth="1"/>
    <col min="9223" max="9223" width="15" style="119" customWidth="1"/>
    <col min="9224" max="9224" width="14.42578125" style="119" customWidth="1"/>
    <col min="9225" max="9225" width="17.7109375" style="119" customWidth="1"/>
    <col min="9226" max="9471" width="9.140625" style="119"/>
    <col min="9472" max="9472" width="14.85546875" style="119" customWidth="1"/>
    <col min="9473" max="9473" width="17.5703125" style="119" customWidth="1"/>
    <col min="9474" max="9474" width="19.42578125" style="119" customWidth="1"/>
    <col min="9475" max="9475" width="17.7109375" style="119" customWidth="1"/>
    <col min="9476" max="9476" width="16.140625" style="119" customWidth="1"/>
    <col min="9477" max="9477" width="19.42578125" style="119" customWidth="1"/>
    <col min="9478" max="9478" width="18" style="119" customWidth="1"/>
    <col min="9479" max="9479" width="15" style="119" customWidth="1"/>
    <col min="9480" max="9480" width="14.42578125" style="119" customWidth="1"/>
    <col min="9481" max="9481" width="17.7109375" style="119" customWidth="1"/>
    <col min="9482" max="9727" width="9.140625" style="119"/>
    <col min="9728" max="9728" width="14.85546875" style="119" customWidth="1"/>
    <col min="9729" max="9729" width="17.5703125" style="119" customWidth="1"/>
    <col min="9730" max="9730" width="19.42578125" style="119" customWidth="1"/>
    <col min="9731" max="9731" width="17.7109375" style="119" customWidth="1"/>
    <col min="9732" max="9732" width="16.140625" style="119" customWidth="1"/>
    <col min="9733" max="9733" width="19.42578125" style="119" customWidth="1"/>
    <col min="9734" max="9734" width="18" style="119" customWidth="1"/>
    <col min="9735" max="9735" width="15" style="119" customWidth="1"/>
    <col min="9736" max="9736" width="14.42578125" style="119" customWidth="1"/>
    <col min="9737" max="9737" width="17.7109375" style="119" customWidth="1"/>
    <col min="9738" max="9983" width="9.140625" style="119"/>
    <col min="9984" max="9984" width="14.85546875" style="119" customWidth="1"/>
    <col min="9985" max="9985" width="17.5703125" style="119" customWidth="1"/>
    <col min="9986" max="9986" width="19.42578125" style="119" customWidth="1"/>
    <col min="9987" max="9987" width="17.7109375" style="119" customWidth="1"/>
    <col min="9988" max="9988" width="16.140625" style="119" customWidth="1"/>
    <col min="9989" max="9989" width="19.42578125" style="119" customWidth="1"/>
    <col min="9990" max="9990" width="18" style="119" customWidth="1"/>
    <col min="9991" max="9991" width="15" style="119" customWidth="1"/>
    <col min="9992" max="9992" width="14.42578125" style="119" customWidth="1"/>
    <col min="9993" max="9993" width="17.7109375" style="119" customWidth="1"/>
    <col min="9994" max="10239" width="9.140625" style="119"/>
    <col min="10240" max="10240" width="14.85546875" style="119" customWidth="1"/>
    <col min="10241" max="10241" width="17.5703125" style="119" customWidth="1"/>
    <col min="10242" max="10242" width="19.42578125" style="119" customWidth="1"/>
    <col min="10243" max="10243" width="17.7109375" style="119" customWidth="1"/>
    <col min="10244" max="10244" width="16.140625" style="119" customWidth="1"/>
    <col min="10245" max="10245" width="19.42578125" style="119" customWidth="1"/>
    <col min="10246" max="10246" width="18" style="119" customWidth="1"/>
    <col min="10247" max="10247" width="15" style="119" customWidth="1"/>
    <col min="10248" max="10248" width="14.42578125" style="119" customWidth="1"/>
    <col min="10249" max="10249" width="17.7109375" style="119" customWidth="1"/>
    <col min="10250" max="10495" width="9.140625" style="119"/>
    <col min="10496" max="10496" width="14.85546875" style="119" customWidth="1"/>
    <col min="10497" max="10497" width="17.5703125" style="119" customWidth="1"/>
    <col min="10498" max="10498" width="19.42578125" style="119" customWidth="1"/>
    <col min="10499" max="10499" width="17.7109375" style="119" customWidth="1"/>
    <col min="10500" max="10500" width="16.140625" style="119" customWidth="1"/>
    <col min="10501" max="10501" width="19.42578125" style="119" customWidth="1"/>
    <col min="10502" max="10502" width="18" style="119" customWidth="1"/>
    <col min="10503" max="10503" width="15" style="119" customWidth="1"/>
    <col min="10504" max="10504" width="14.42578125" style="119" customWidth="1"/>
    <col min="10505" max="10505" width="17.7109375" style="119" customWidth="1"/>
    <col min="10506" max="10751" width="9.140625" style="119"/>
    <col min="10752" max="10752" width="14.85546875" style="119" customWidth="1"/>
    <col min="10753" max="10753" width="17.5703125" style="119" customWidth="1"/>
    <col min="10754" max="10754" width="19.42578125" style="119" customWidth="1"/>
    <col min="10755" max="10755" width="17.7109375" style="119" customWidth="1"/>
    <col min="10756" max="10756" width="16.140625" style="119" customWidth="1"/>
    <col min="10757" max="10757" width="19.42578125" style="119" customWidth="1"/>
    <col min="10758" max="10758" width="18" style="119" customWidth="1"/>
    <col min="10759" max="10759" width="15" style="119" customWidth="1"/>
    <col min="10760" max="10760" width="14.42578125" style="119" customWidth="1"/>
    <col min="10761" max="10761" width="17.7109375" style="119" customWidth="1"/>
    <col min="10762" max="11007" width="9.140625" style="119"/>
    <col min="11008" max="11008" width="14.85546875" style="119" customWidth="1"/>
    <col min="11009" max="11009" width="17.5703125" style="119" customWidth="1"/>
    <col min="11010" max="11010" width="19.42578125" style="119" customWidth="1"/>
    <col min="11011" max="11011" width="17.7109375" style="119" customWidth="1"/>
    <col min="11012" max="11012" width="16.140625" style="119" customWidth="1"/>
    <col min="11013" max="11013" width="19.42578125" style="119" customWidth="1"/>
    <col min="11014" max="11014" width="18" style="119" customWidth="1"/>
    <col min="11015" max="11015" width="15" style="119" customWidth="1"/>
    <col min="11016" max="11016" width="14.42578125" style="119" customWidth="1"/>
    <col min="11017" max="11017" width="17.7109375" style="119" customWidth="1"/>
    <col min="11018" max="11263" width="9.140625" style="119"/>
    <col min="11264" max="11264" width="14.85546875" style="119" customWidth="1"/>
    <col min="11265" max="11265" width="17.5703125" style="119" customWidth="1"/>
    <col min="11266" max="11266" width="19.42578125" style="119" customWidth="1"/>
    <col min="11267" max="11267" width="17.7109375" style="119" customWidth="1"/>
    <col min="11268" max="11268" width="16.140625" style="119" customWidth="1"/>
    <col min="11269" max="11269" width="19.42578125" style="119" customWidth="1"/>
    <col min="11270" max="11270" width="18" style="119" customWidth="1"/>
    <col min="11271" max="11271" width="15" style="119" customWidth="1"/>
    <col min="11272" max="11272" width="14.42578125" style="119" customWidth="1"/>
    <col min="11273" max="11273" width="17.7109375" style="119" customWidth="1"/>
    <col min="11274" max="11519" width="9.140625" style="119"/>
    <col min="11520" max="11520" width="14.85546875" style="119" customWidth="1"/>
    <col min="11521" max="11521" width="17.5703125" style="119" customWidth="1"/>
    <col min="11522" max="11522" width="19.42578125" style="119" customWidth="1"/>
    <col min="11523" max="11523" width="17.7109375" style="119" customWidth="1"/>
    <col min="11524" max="11524" width="16.140625" style="119" customWidth="1"/>
    <col min="11525" max="11525" width="19.42578125" style="119" customWidth="1"/>
    <col min="11526" max="11526" width="18" style="119" customWidth="1"/>
    <col min="11527" max="11527" width="15" style="119" customWidth="1"/>
    <col min="11528" max="11528" width="14.42578125" style="119" customWidth="1"/>
    <col min="11529" max="11529" width="17.7109375" style="119" customWidth="1"/>
    <col min="11530" max="11775" width="9.140625" style="119"/>
    <col min="11776" max="11776" width="14.85546875" style="119" customWidth="1"/>
    <col min="11777" max="11777" width="17.5703125" style="119" customWidth="1"/>
    <col min="11778" max="11778" width="19.42578125" style="119" customWidth="1"/>
    <col min="11779" max="11779" width="17.7109375" style="119" customWidth="1"/>
    <col min="11780" max="11780" width="16.140625" style="119" customWidth="1"/>
    <col min="11781" max="11781" width="19.42578125" style="119" customWidth="1"/>
    <col min="11782" max="11782" width="18" style="119" customWidth="1"/>
    <col min="11783" max="11783" width="15" style="119" customWidth="1"/>
    <col min="11784" max="11784" width="14.42578125" style="119" customWidth="1"/>
    <col min="11785" max="11785" width="17.7109375" style="119" customWidth="1"/>
    <col min="11786" max="12031" width="9.140625" style="119"/>
    <col min="12032" max="12032" width="14.85546875" style="119" customWidth="1"/>
    <col min="12033" max="12033" width="17.5703125" style="119" customWidth="1"/>
    <col min="12034" max="12034" width="19.42578125" style="119" customWidth="1"/>
    <col min="12035" max="12035" width="17.7109375" style="119" customWidth="1"/>
    <col min="12036" max="12036" width="16.140625" style="119" customWidth="1"/>
    <col min="12037" max="12037" width="19.42578125" style="119" customWidth="1"/>
    <col min="12038" max="12038" width="18" style="119" customWidth="1"/>
    <col min="12039" max="12039" width="15" style="119" customWidth="1"/>
    <col min="12040" max="12040" width="14.42578125" style="119" customWidth="1"/>
    <col min="12041" max="12041" width="17.7109375" style="119" customWidth="1"/>
    <col min="12042" max="12287" width="9.140625" style="119"/>
    <col min="12288" max="12288" width="14.85546875" style="119" customWidth="1"/>
    <col min="12289" max="12289" width="17.5703125" style="119" customWidth="1"/>
    <col min="12290" max="12290" width="19.42578125" style="119" customWidth="1"/>
    <col min="12291" max="12291" width="17.7109375" style="119" customWidth="1"/>
    <col min="12292" max="12292" width="16.140625" style="119" customWidth="1"/>
    <col min="12293" max="12293" width="19.42578125" style="119" customWidth="1"/>
    <col min="12294" max="12294" width="18" style="119" customWidth="1"/>
    <col min="12295" max="12295" width="15" style="119" customWidth="1"/>
    <col min="12296" max="12296" width="14.42578125" style="119" customWidth="1"/>
    <col min="12297" max="12297" width="17.7109375" style="119" customWidth="1"/>
    <col min="12298" max="12543" width="9.140625" style="119"/>
    <col min="12544" max="12544" width="14.85546875" style="119" customWidth="1"/>
    <col min="12545" max="12545" width="17.5703125" style="119" customWidth="1"/>
    <col min="12546" max="12546" width="19.42578125" style="119" customWidth="1"/>
    <col min="12547" max="12547" width="17.7109375" style="119" customWidth="1"/>
    <col min="12548" max="12548" width="16.140625" style="119" customWidth="1"/>
    <col min="12549" max="12549" width="19.42578125" style="119" customWidth="1"/>
    <col min="12550" max="12550" width="18" style="119" customWidth="1"/>
    <col min="12551" max="12551" width="15" style="119" customWidth="1"/>
    <col min="12552" max="12552" width="14.42578125" style="119" customWidth="1"/>
    <col min="12553" max="12553" width="17.7109375" style="119" customWidth="1"/>
    <col min="12554" max="12799" width="9.140625" style="119"/>
    <col min="12800" max="12800" width="14.85546875" style="119" customWidth="1"/>
    <col min="12801" max="12801" width="17.5703125" style="119" customWidth="1"/>
    <col min="12802" max="12802" width="19.42578125" style="119" customWidth="1"/>
    <col min="12803" max="12803" width="17.7109375" style="119" customWidth="1"/>
    <col min="12804" max="12804" width="16.140625" style="119" customWidth="1"/>
    <col min="12805" max="12805" width="19.42578125" style="119" customWidth="1"/>
    <col min="12806" max="12806" width="18" style="119" customWidth="1"/>
    <col min="12807" max="12807" width="15" style="119" customWidth="1"/>
    <col min="12808" max="12808" width="14.42578125" style="119" customWidth="1"/>
    <col min="12809" max="12809" width="17.7109375" style="119" customWidth="1"/>
    <col min="12810" max="13055" width="9.140625" style="119"/>
    <col min="13056" max="13056" width="14.85546875" style="119" customWidth="1"/>
    <col min="13057" max="13057" width="17.5703125" style="119" customWidth="1"/>
    <col min="13058" max="13058" width="19.42578125" style="119" customWidth="1"/>
    <col min="13059" max="13059" width="17.7109375" style="119" customWidth="1"/>
    <col min="13060" max="13060" width="16.140625" style="119" customWidth="1"/>
    <col min="13061" max="13061" width="19.42578125" style="119" customWidth="1"/>
    <col min="13062" max="13062" width="18" style="119" customWidth="1"/>
    <col min="13063" max="13063" width="15" style="119" customWidth="1"/>
    <col min="13064" max="13064" width="14.42578125" style="119" customWidth="1"/>
    <col min="13065" max="13065" width="17.7109375" style="119" customWidth="1"/>
    <col min="13066" max="13311" width="9.140625" style="119"/>
    <col min="13312" max="13312" width="14.85546875" style="119" customWidth="1"/>
    <col min="13313" max="13313" width="17.5703125" style="119" customWidth="1"/>
    <col min="13314" max="13314" width="19.42578125" style="119" customWidth="1"/>
    <col min="13315" max="13315" width="17.7109375" style="119" customWidth="1"/>
    <col min="13316" max="13316" width="16.140625" style="119" customWidth="1"/>
    <col min="13317" max="13317" width="19.42578125" style="119" customWidth="1"/>
    <col min="13318" max="13318" width="18" style="119" customWidth="1"/>
    <col min="13319" max="13319" width="15" style="119" customWidth="1"/>
    <col min="13320" max="13320" width="14.42578125" style="119" customWidth="1"/>
    <col min="13321" max="13321" width="17.7109375" style="119" customWidth="1"/>
    <col min="13322" max="13567" width="9.140625" style="119"/>
    <col min="13568" max="13568" width="14.85546875" style="119" customWidth="1"/>
    <col min="13569" max="13569" width="17.5703125" style="119" customWidth="1"/>
    <col min="13570" max="13570" width="19.42578125" style="119" customWidth="1"/>
    <col min="13571" max="13571" width="17.7109375" style="119" customWidth="1"/>
    <col min="13572" max="13572" width="16.140625" style="119" customWidth="1"/>
    <col min="13573" max="13573" width="19.42578125" style="119" customWidth="1"/>
    <col min="13574" max="13574" width="18" style="119" customWidth="1"/>
    <col min="13575" max="13575" width="15" style="119" customWidth="1"/>
    <col min="13576" max="13576" width="14.42578125" style="119" customWidth="1"/>
    <col min="13577" max="13577" width="17.7109375" style="119" customWidth="1"/>
    <col min="13578" max="13823" width="9.140625" style="119"/>
    <col min="13824" max="13824" width="14.85546875" style="119" customWidth="1"/>
    <col min="13825" max="13825" width="17.5703125" style="119" customWidth="1"/>
    <col min="13826" max="13826" width="19.42578125" style="119" customWidth="1"/>
    <col min="13827" max="13827" width="17.7109375" style="119" customWidth="1"/>
    <col min="13828" max="13828" width="16.140625" style="119" customWidth="1"/>
    <col min="13829" max="13829" width="19.42578125" style="119" customWidth="1"/>
    <col min="13830" max="13830" width="18" style="119" customWidth="1"/>
    <col min="13831" max="13831" width="15" style="119" customWidth="1"/>
    <col min="13832" max="13832" width="14.42578125" style="119" customWidth="1"/>
    <col min="13833" max="13833" width="17.7109375" style="119" customWidth="1"/>
    <col min="13834" max="14079" width="9.140625" style="119"/>
    <col min="14080" max="14080" width="14.85546875" style="119" customWidth="1"/>
    <col min="14081" max="14081" width="17.5703125" style="119" customWidth="1"/>
    <col min="14082" max="14082" width="19.42578125" style="119" customWidth="1"/>
    <col min="14083" max="14083" width="17.7109375" style="119" customWidth="1"/>
    <col min="14084" max="14084" width="16.140625" style="119" customWidth="1"/>
    <col min="14085" max="14085" width="19.42578125" style="119" customWidth="1"/>
    <col min="14086" max="14086" width="18" style="119" customWidth="1"/>
    <col min="14087" max="14087" width="15" style="119" customWidth="1"/>
    <col min="14088" max="14088" width="14.42578125" style="119" customWidth="1"/>
    <col min="14089" max="14089" width="17.7109375" style="119" customWidth="1"/>
    <col min="14090" max="14335" width="9.140625" style="119"/>
    <col min="14336" max="14336" width="14.85546875" style="119" customWidth="1"/>
    <col min="14337" max="14337" width="17.5703125" style="119" customWidth="1"/>
    <col min="14338" max="14338" width="19.42578125" style="119" customWidth="1"/>
    <col min="14339" max="14339" width="17.7109375" style="119" customWidth="1"/>
    <col min="14340" max="14340" width="16.140625" style="119" customWidth="1"/>
    <col min="14341" max="14341" width="19.42578125" style="119" customWidth="1"/>
    <col min="14342" max="14342" width="18" style="119" customWidth="1"/>
    <col min="14343" max="14343" width="15" style="119" customWidth="1"/>
    <col min="14344" max="14344" width="14.42578125" style="119" customWidth="1"/>
    <col min="14345" max="14345" width="17.7109375" style="119" customWidth="1"/>
    <col min="14346" max="14591" width="9.140625" style="119"/>
    <col min="14592" max="14592" width="14.85546875" style="119" customWidth="1"/>
    <col min="14593" max="14593" width="17.5703125" style="119" customWidth="1"/>
    <col min="14594" max="14594" width="19.42578125" style="119" customWidth="1"/>
    <col min="14595" max="14595" width="17.7109375" style="119" customWidth="1"/>
    <col min="14596" max="14596" width="16.140625" style="119" customWidth="1"/>
    <col min="14597" max="14597" width="19.42578125" style="119" customWidth="1"/>
    <col min="14598" max="14598" width="18" style="119" customWidth="1"/>
    <col min="14599" max="14599" width="15" style="119" customWidth="1"/>
    <col min="14600" max="14600" width="14.42578125" style="119" customWidth="1"/>
    <col min="14601" max="14601" width="17.7109375" style="119" customWidth="1"/>
    <col min="14602" max="14847" width="9.140625" style="119"/>
    <col min="14848" max="14848" width="14.85546875" style="119" customWidth="1"/>
    <col min="14849" max="14849" width="17.5703125" style="119" customWidth="1"/>
    <col min="14850" max="14850" width="19.42578125" style="119" customWidth="1"/>
    <col min="14851" max="14851" width="17.7109375" style="119" customWidth="1"/>
    <col min="14852" max="14852" width="16.140625" style="119" customWidth="1"/>
    <col min="14853" max="14853" width="19.42578125" style="119" customWidth="1"/>
    <col min="14854" max="14854" width="18" style="119" customWidth="1"/>
    <col min="14855" max="14855" width="15" style="119" customWidth="1"/>
    <col min="14856" max="14856" width="14.42578125" style="119" customWidth="1"/>
    <col min="14857" max="14857" width="17.7109375" style="119" customWidth="1"/>
    <col min="14858" max="15103" width="9.140625" style="119"/>
    <col min="15104" max="15104" width="14.85546875" style="119" customWidth="1"/>
    <col min="15105" max="15105" width="17.5703125" style="119" customWidth="1"/>
    <col min="15106" max="15106" width="19.42578125" style="119" customWidth="1"/>
    <col min="15107" max="15107" width="17.7109375" style="119" customWidth="1"/>
    <col min="15108" max="15108" width="16.140625" style="119" customWidth="1"/>
    <col min="15109" max="15109" width="19.42578125" style="119" customWidth="1"/>
    <col min="15110" max="15110" width="18" style="119" customWidth="1"/>
    <col min="15111" max="15111" width="15" style="119" customWidth="1"/>
    <col min="15112" max="15112" width="14.42578125" style="119" customWidth="1"/>
    <col min="15113" max="15113" width="17.7109375" style="119" customWidth="1"/>
    <col min="15114" max="15359" width="9.140625" style="119"/>
    <col min="15360" max="15360" width="14.85546875" style="119" customWidth="1"/>
    <col min="15361" max="15361" width="17.5703125" style="119" customWidth="1"/>
    <col min="15362" max="15362" width="19.42578125" style="119" customWidth="1"/>
    <col min="15363" max="15363" width="17.7109375" style="119" customWidth="1"/>
    <col min="15364" max="15364" width="16.140625" style="119" customWidth="1"/>
    <col min="15365" max="15365" width="19.42578125" style="119" customWidth="1"/>
    <col min="15366" max="15366" width="18" style="119" customWidth="1"/>
    <col min="15367" max="15367" width="15" style="119" customWidth="1"/>
    <col min="15368" max="15368" width="14.42578125" style="119" customWidth="1"/>
    <col min="15369" max="15369" width="17.7109375" style="119" customWidth="1"/>
    <col min="15370" max="15615" width="9.140625" style="119"/>
    <col min="15616" max="15616" width="14.85546875" style="119" customWidth="1"/>
    <col min="15617" max="15617" width="17.5703125" style="119" customWidth="1"/>
    <col min="15618" max="15618" width="19.42578125" style="119" customWidth="1"/>
    <col min="15619" max="15619" width="17.7109375" style="119" customWidth="1"/>
    <col min="15620" max="15620" width="16.140625" style="119" customWidth="1"/>
    <col min="15621" max="15621" width="19.42578125" style="119" customWidth="1"/>
    <col min="15622" max="15622" width="18" style="119" customWidth="1"/>
    <col min="15623" max="15623" width="15" style="119" customWidth="1"/>
    <col min="15624" max="15624" width="14.42578125" style="119" customWidth="1"/>
    <col min="15625" max="15625" width="17.7109375" style="119" customWidth="1"/>
    <col min="15626" max="15871" width="9.140625" style="119"/>
    <col min="15872" max="15872" width="14.85546875" style="119" customWidth="1"/>
    <col min="15873" max="15873" width="17.5703125" style="119" customWidth="1"/>
    <col min="15874" max="15874" width="19.42578125" style="119" customWidth="1"/>
    <col min="15875" max="15875" width="17.7109375" style="119" customWidth="1"/>
    <col min="15876" max="15876" width="16.140625" style="119" customWidth="1"/>
    <col min="15877" max="15877" width="19.42578125" style="119" customWidth="1"/>
    <col min="15878" max="15878" width="18" style="119" customWidth="1"/>
    <col min="15879" max="15879" width="15" style="119" customWidth="1"/>
    <col min="15880" max="15880" width="14.42578125" style="119" customWidth="1"/>
    <col min="15881" max="15881" width="17.7109375" style="119" customWidth="1"/>
    <col min="15882" max="16127" width="9.140625" style="119"/>
    <col min="16128" max="16128" width="14.85546875" style="119" customWidth="1"/>
    <col min="16129" max="16129" width="17.5703125" style="119" customWidth="1"/>
    <col min="16130" max="16130" width="19.42578125" style="119" customWidth="1"/>
    <col min="16131" max="16131" width="17.7109375" style="119" customWidth="1"/>
    <col min="16132" max="16132" width="16.140625" style="119" customWidth="1"/>
    <col min="16133" max="16133" width="19.42578125" style="119" customWidth="1"/>
    <col min="16134" max="16134" width="18" style="119" customWidth="1"/>
    <col min="16135" max="16135" width="15" style="119" customWidth="1"/>
    <col min="16136" max="16136" width="14.42578125" style="119" customWidth="1"/>
    <col min="16137" max="16137" width="17.7109375" style="119" customWidth="1"/>
    <col min="16138" max="16384" width="9.140625" style="119"/>
  </cols>
  <sheetData>
    <row r="1" spans="1:7" ht="18.75" thickBot="1" x14ac:dyDescent="0.3">
      <c r="B1" s="120" t="s">
        <v>189</v>
      </c>
      <c r="C1" s="121"/>
      <c r="D1" s="122"/>
      <c r="E1" s="120" t="s">
        <v>190</v>
      </c>
      <c r="F1" s="121"/>
      <c r="G1" s="122"/>
    </row>
    <row r="2" spans="1:7" x14ac:dyDescent="0.25">
      <c r="A2" s="123" t="s">
        <v>191</v>
      </c>
      <c r="B2" s="124" t="s">
        <v>192</v>
      </c>
      <c r="C2" s="124" t="s">
        <v>193</v>
      </c>
      <c r="D2" s="124" t="s">
        <v>194</v>
      </c>
      <c r="E2" s="124" t="s">
        <v>195</v>
      </c>
      <c r="F2" s="124" t="s">
        <v>196</v>
      </c>
      <c r="G2" s="124" t="s">
        <v>194</v>
      </c>
    </row>
    <row r="3" spans="1:7" x14ac:dyDescent="0.25">
      <c r="D3" s="124" t="s">
        <v>192</v>
      </c>
      <c r="E3" s="124"/>
      <c r="F3" s="124"/>
      <c r="G3" s="124" t="s">
        <v>195</v>
      </c>
    </row>
    <row r="4" spans="1:7" ht="18.75" x14ac:dyDescent="0.3">
      <c r="A4" s="125" t="s">
        <v>197</v>
      </c>
      <c r="B4" s="125">
        <v>6351</v>
      </c>
      <c r="C4" s="126">
        <f>B4/B8</f>
        <v>0.10198969022498434</v>
      </c>
      <c r="D4" s="126">
        <f>C4*0.5</f>
        <v>5.0994845112492172E-2</v>
      </c>
      <c r="E4" s="127">
        <f>[1]Rides!F96</f>
        <v>1907</v>
      </c>
      <c r="F4" s="126">
        <f>E4/E8</f>
        <v>5.7095808383233533E-2</v>
      </c>
      <c r="G4" s="126">
        <f>F4*0.5</f>
        <v>2.8547904191616767E-2</v>
      </c>
    </row>
    <row r="5" spans="1:7" ht="18.75" x14ac:dyDescent="0.3">
      <c r="A5" s="125" t="s">
        <v>198</v>
      </c>
      <c r="B5" s="125">
        <v>35394</v>
      </c>
      <c r="C5" s="126">
        <f>B5/B8</f>
        <v>0.56838656838656842</v>
      </c>
      <c r="D5" s="126">
        <f>C5*0.5</f>
        <v>0.28419328419328421</v>
      </c>
      <c r="E5" s="127">
        <f>[1]Rides!F64</f>
        <v>16099</v>
      </c>
      <c r="F5" s="126">
        <f>E5/E8</f>
        <v>0.48200598802395211</v>
      </c>
      <c r="G5" s="126">
        <f>F5*0.5</f>
        <v>0.24100299401197606</v>
      </c>
    </row>
    <row r="6" spans="1:7" ht="18.75" x14ac:dyDescent="0.3">
      <c r="A6" s="125" t="s">
        <v>199</v>
      </c>
      <c r="B6" s="125">
        <v>20526</v>
      </c>
      <c r="C6" s="126">
        <f>B6/B8</f>
        <v>0.32962374138844724</v>
      </c>
      <c r="D6" s="126">
        <f>C6*0.5</f>
        <v>0.16481187069422362</v>
      </c>
      <c r="E6" s="127">
        <f>[1]Rides!F80</f>
        <v>15394</v>
      </c>
      <c r="F6" s="126">
        <f>E6/E8</f>
        <v>0.46089820359281436</v>
      </c>
      <c r="G6" s="126">
        <f>F6*0.5</f>
        <v>0.23044910179640718</v>
      </c>
    </row>
    <row r="7" spans="1:7" ht="18.75" x14ac:dyDescent="0.3">
      <c r="A7" s="125"/>
      <c r="B7" s="125"/>
      <c r="C7" s="126"/>
      <c r="D7" s="126"/>
      <c r="E7" s="125"/>
      <c r="F7" s="126"/>
      <c r="G7" s="126"/>
    </row>
    <row r="8" spans="1:7" ht="18.75" x14ac:dyDescent="0.3">
      <c r="A8" s="125"/>
      <c r="B8" s="125">
        <f>SUM(B4:B7)</f>
        <v>62271</v>
      </c>
      <c r="C8" s="126">
        <f>SUM(C4:C7)</f>
        <v>1</v>
      </c>
      <c r="D8" s="126">
        <f>C8*0.5</f>
        <v>0.5</v>
      </c>
      <c r="E8" s="127">
        <f>SUM(E4:E6)</f>
        <v>33400</v>
      </c>
      <c r="F8" s="126">
        <f>SUM(F4:F7)</f>
        <v>1</v>
      </c>
      <c r="G8" s="126">
        <f>F8*0.5</f>
        <v>0.5</v>
      </c>
    </row>
    <row r="10" spans="1:7" x14ac:dyDescent="0.25">
      <c r="A10" s="123" t="s">
        <v>191</v>
      </c>
      <c r="B10" s="124" t="s">
        <v>194</v>
      </c>
      <c r="C10" s="124" t="s">
        <v>194</v>
      </c>
      <c r="D10" s="124" t="s">
        <v>200</v>
      </c>
      <c r="E10" s="124" t="s">
        <v>201</v>
      </c>
      <c r="F10" s="128" t="s">
        <v>202</v>
      </c>
    </row>
    <row r="11" spans="1:7" x14ac:dyDescent="0.25">
      <c r="B11" s="124" t="s">
        <v>192</v>
      </c>
      <c r="C11" s="124" t="s">
        <v>195</v>
      </c>
      <c r="D11" s="124" t="s">
        <v>203</v>
      </c>
      <c r="F11" s="128" t="s">
        <v>204</v>
      </c>
    </row>
    <row r="12" spans="1:7" ht="18.75" x14ac:dyDescent="0.3">
      <c r="A12" s="125" t="s">
        <v>197</v>
      </c>
      <c r="B12" s="126">
        <v>5.0994845112492172E-2</v>
      </c>
      <c r="C12" s="126">
        <f>G4</f>
        <v>2.8547904191616767E-2</v>
      </c>
      <c r="D12" s="126">
        <f>B12+C12</f>
        <v>7.9542749304108942E-2</v>
      </c>
      <c r="E12" s="129">
        <v>205000</v>
      </c>
      <c r="F12" s="130">
        <f>E12*D12</f>
        <v>16306.263607342333</v>
      </c>
    </row>
    <row r="13" spans="1:7" ht="18.75" x14ac:dyDescent="0.3">
      <c r="A13" s="125" t="s">
        <v>198</v>
      </c>
      <c r="B13" s="126">
        <v>0.28419328419328421</v>
      </c>
      <c r="C13" s="126">
        <f>G5</f>
        <v>0.24100299401197606</v>
      </c>
      <c r="D13" s="126">
        <f>B13+C13</f>
        <v>0.52519627820526027</v>
      </c>
      <c r="E13" s="129">
        <v>205000</v>
      </c>
      <c r="F13" s="130">
        <f>E13*D13</f>
        <v>107665.23703207835</v>
      </c>
    </row>
    <row r="14" spans="1:7" ht="18.75" x14ac:dyDescent="0.3">
      <c r="A14" s="125" t="s">
        <v>199</v>
      </c>
      <c r="B14" s="126">
        <v>0.16481187069422362</v>
      </c>
      <c r="C14" s="126">
        <f>G6</f>
        <v>0.23044910179640718</v>
      </c>
      <c r="D14" s="126">
        <f>B14+C14</f>
        <v>0.3952609724906308</v>
      </c>
      <c r="E14" s="129">
        <v>205000</v>
      </c>
      <c r="F14" s="130">
        <f>E14*D14</f>
        <v>81028.499360579313</v>
      </c>
    </row>
    <row r="15" spans="1:7" ht="18.75" x14ac:dyDescent="0.3">
      <c r="A15" s="125"/>
      <c r="B15" s="126"/>
      <c r="C15" s="126"/>
      <c r="D15" s="126"/>
      <c r="E15" s="129"/>
      <c r="F15" s="130"/>
    </row>
    <row r="16" spans="1:7" ht="18.75" x14ac:dyDescent="0.3">
      <c r="A16" s="125"/>
      <c r="B16" s="126">
        <v>0.5</v>
      </c>
      <c r="C16" s="126">
        <v>0.5</v>
      </c>
      <c r="D16" s="126">
        <f>B16+C16</f>
        <v>1</v>
      </c>
      <c r="E16" s="129"/>
      <c r="F16" s="131">
        <f>SUM(F12:F15)</f>
        <v>205000</v>
      </c>
    </row>
    <row r="18" spans="1:6" x14ac:dyDescent="0.25">
      <c r="A18" s="123" t="s">
        <v>191</v>
      </c>
      <c r="B18" s="128" t="str">
        <f>F10</f>
        <v>2021 Cost Share</v>
      </c>
      <c r="C18" s="124" t="s">
        <v>205</v>
      </c>
      <c r="D18" s="124">
        <v>2020</v>
      </c>
      <c r="E18" s="124">
        <v>2019</v>
      </c>
      <c r="F18" s="124">
        <v>2018</v>
      </c>
    </row>
    <row r="19" spans="1:6" x14ac:dyDescent="0.25">
      <c r="B19" s="128" t="s">
        <v>204</v>
      </c>
      <c r="C19" s="124"/>
      <c r="D19" s="124" t="s">
        <v>201</v>
      </c>
      <c r="E19" s="124" t="s">
        <v>201</v>
      </c>
      <c r="F19" s="124" t="s">
        <v>201</v>
      </c>
    </row>
    <row r="20" spans="1:6" ht="18.75" x14ac:dyDescent="0.3">
      <c r="A20" s="125" t="s">
        <v>197</v>
      </c>
      <c r="B20" s="130">
        <f>F12</f>
        <v>16306.263607342333</v>
      </c>
      <c r="C20" s="129">
        <f>B20-D20</f>
        <v>651.26360734233276</v>
      </c>
      <c r="D20" s="129">
        <v>15655</v>
      </c>
      <c r="E20" s="130">
        <v>16145</v>
      </c>
      <c r="F20" s="130">
        <v>15509.47575151871</v>
      </c>
    </row>
    <row r="21" spans="1:6" ht="18.75" x14ac:dyDescent="0.3">
      <c r="A21" s="125" t="s">
        <v>198</v>
      </c>
      <c r="B21" s="130">
        <f>F13</f>
        <v>107665.23703207835</v>
      </c>
      <c r="C21" s="129">
        <f t="shared" ref="C21:C22" si="0">B21-D21</f>
        <v>-4631.7629679216479</v>
      </c>
      <c r="D21" s="129">
        <v>112297</v>
      </c>
      <c r="E21" s="130">
        <v>108365</v>
      </c>
      <c r="F21" s="130">
        <v>108395.30790692617</v>
      </c>
    </row>
    <row r="22" spans="1:6" ht="18.75" x14ac:dyDescent="0.3">
      <c r="A22" s="125" t="s">
        <v>199</v>
      </c>
      <c r="B22" s="130">
        <f>F14</f>
        <v>81028.499360579313</v>
      </c>
      <c r="C22" s="129">
        <f t="shared" si="0"/>
        <v>3979.4993605793134</v>
      </c>
      <c r="D22" s="129">
        <v>77049</v>
      </c>
      <c r="E22" s="130">
        <v>80490</v>
      </c>
      <c r="F22" s="130">
        <v>81095.216341555119</v>
      </c>
    </row>
    <row r="23" spans="1:6" ht="18.75" x14ac:dyDescent="0.3">
      <c r="A23" s="125"/>
      <c r="B23" s="130"/>
      <c r="C23" s="129"/>
      <c r="F23" s="132"/>
    </row>
    <row r="24" spans="1:6" ht="18.75" x14ac:dyDescent="0.3">
      <c r="A24" s="125"/>
      <c r="B24" s="131">
        <v>205000</v>
      </c>
    </row>
    <row r="25" spans="1:6" x14ac:dyDescent="0.25">
      <c r="A25" s="133"/>
    </row>
    <row r="27" spans="1:6" x14ac:dyDescent="0.25">
      <c r="A27" s="124"/>
      <c r="B27" s="124"/>
      <c r="C27" s="124"/>
      <c r="D27" s="124"/>
    </row>
    <row r="28" spans="1:6" x14ac:dyDescent="0.25">
      <c r="A28" s="124"/>
      <c r="B28" s="124"/>
      <c r="C28" s="124"/>
      <c r="D28" s="124"/>
    </row>
    <row r="29" spans="1:6" ht="18.75" x14ac:dyDescent="0.3">
      <c r="A29" s="132"/>
      <c r="B29" s="132"/>
      <c r="C29" s="132"/>
      <c r="D29" s="132"/>
    </row>
    <row r="30" spans="1:6" ht="18.75" x14ac:dyDescent="0.3">
      <c r="A30" s="132"/>
      <c r="B30" s="132"/>
      <c r="C30" s="132"/>
      <c r="D30" s="132"/>
    </row>
    <row r="31" spans="1:6" ht="18.75" x14ac:dyDescent="0.3">
      <c r="A31" s="132"/>
      <c r="B31" s="132"/>
      <c r="C31" s="132"/>
      <c r="D31" s="132"/>
    </row>
    <row r="32" spans="1:6" ht="18.75" x14ac:dyDescent="0.3">
      <c r="D32" s="132"/>
    </row>
    <row r="33" spans="2:4" ht="18.75" x14ac:dyDescent="0.3">
      <c r="B33" s="134"/>
      <c r="C33" s="134"/>
      <c r="D33" s="132"/>
    </row>
    <row r="34" spans="2:4" x14ac:dyDescent="0.25">
      <c r="B34" s="135"/>
      <c r="C34" s="135"/>
      <c r="D34" s="135"/>
    </row>
    <row r="35" spans="2:4" x14ac:dyDescent="0.25">
      <c r="B35" s="136"/>
      <c r="C35" s="136"/>
      <c r="D35" s="136"/>
    </row>
    <row r="36" spans="2:4" x14ac:dyDescent="0.25">
      <c r="B36" s="137"/>
      <c r="C36" s="137"/>
      <c r="D36" s="137"/>
    </row>
    <row r="37" spans="2:4" x14ac:dyDescent="0.25">
      <c r="B37" s="138"/>
      <c r="C37" s="138"/>
      <c r="D37" s="138"/>
    </row>
    <row r="38" spans="2:4" x14ac:dyDescent="0.25">
      <c r="B38" s="135"/>
      <c r="C38" s="135"/>
      <c r="D38" s="135"/>
    </row>
    <row r="39" spans="2:4" x14ac:dyDescent="0.25">
      <c r="B39" s="137"/>
      <c r="C39" s="137"/>
      <c r="D39" s="137"/>
    </row>
  </sheetData>
  <pageMargins left="0.75" right="0.45" top="1.37" bottom="0.75" header="0.5" footer="0.5"/>
  <pageSetup orientation="landscape" horizontalDpi="200" verticalDpi="200" r:id="rId1"/>
  <headerFooter alignWithMargins="0">
    <oddHeader xml:space="preserve">&amp;C&amp;"+,Bold"&amp;12NORTH OAKLAND TRANSPORTATION AUTHORITY
2021
 FORMULA FUNDING
GOVERNMENT CONTRIBUTION CALCULATION&amp;"Arial,Regular"&amp;10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176D-3F0E-41A3-A3B5-C293371A6523}">
  <sheetPr>
    <pageSetUpPr fitToPage="1"/>
  </sheetPr>
  <dimension ref="A1:I40"/>
  <sheetViews>
    <sheetView view="pageLayout" topLeftCell="A21" zoomScaleNormal="100" workbookViewId="0">
      <selection activeCell="H41" sqref="H41"/>
    </sheetView>
  </sheetViews>
  <sheetFormatPr defaultRowHeight="15" x14ac:dyDescent="0.25"/>
  <cols>
    <col min="1" max="1" width="31.7109375" style="16" customWidth="1"/>
    <col min="2" max="2" width="12" style="16" customWidth="1"/>
    <col min="3" max="3" width="12.85546875" style="16" customWidth="1"/>
    <col min="4" max="4" width="11.28515625" style="16" customWidth="1"/>
    <col min="5" max="5" width="13" style="16" customWidth="1"/>
    <col min="6" max="6" width="10.85546875" style="16" bestFit="1" customWidth="1"/>
    <col min="7" max="7" width="9.140625" style="16"/>
    <col min="8" max="8" width="9.85546875" style="16" bestFit="1" customWidth="1"/>
    <col min="9" max="9" width="11.85546875" style="16" bestFit="1" customWidth="1"/>
    <col min="10" max="16384" width="9.140625" style="16"/>
  </cols>
  <sheetData>
    <row r="1" spans="1:9" ht="15.75" thickBot="1" x14ac:dyDescent="0.3">
      <c r="B1" s="98" t="s">
        <v>185</v>
      </c>
      <c r="C1" s="98" t="s">
        <v>177</v>
      </c>
      <c r="D1" s="98" t="s">
        <v>186</v>
      </c>
      <c r="E1" s="98" t="s">
        <v>124</v>
      </c>
    </row>
    <row r="2" spans="1:9" ht="15.75" thickBot="1" x14ac:dyDescent="0.3">
      <c r="A2" s="78" t="s">
        <v>183</v>
      </c>
      <c r="B2" s="79">
        <v>15</v>
      </c>
      <c r="C2" s="79">
        <v>16.12</v>
      </c>
      <c r="D2" s="79">
        <v>46000</v>
      </c>
      <c r="E2" s="79">
        <v>66000</v>
      </c>
    </row>
    <row r="3" spans="1:9" ht="15.75" thickBot="1" x14ac:dyDescent="0.3">
      <c r="A3" s="78" t="s">
        <v>152</v>
      </c>
      <c r="B3" s="80">
        <v>0</v>
      </c>
      <c r="C3" s="80">
        <v>0</v>
      </c>
      <c r="D3" s="80">
        <v>0</v>
      </c>
      <c r="E3" s="80">
        <v>0</v>
      </c>
    </row>
    <row r="4" spans="1:9" ht="15.75" thickBot="1" x14ac:dyDescent="0.3">
      <c r="A4" s="78" t="s">
        <v>184</v>
      </c>
      <c r="B4" s="79">
        <f>(B2*B3)+B2</f>
        <v>15</v>
      </c>
      <c r="C4" s="79">
        <f t="shared" ref="C4:E4" si="0">(C2*C3)+C2</f>
        <v>16.12</v>
      </c>
      <c r="D4" s="79">
        <f t="shared" si="0"/>
        <v>46000</v>
      </c>
      <c r="E4" s="79">
        <f t="shared" si="0"/>
        <v>66000</v>
      </c>
      <c r="F4" s="81">
        <v>7.6499999999999999E-2</v>
      </c>
      <c r="G4" s="81">
        <v>8.0000000000000004E-4</v>
      </c>
      <c r="H4" s="81">
        <v>7.1999999999999998E-3</v>
      </c>
    </row>
    <row r="5" spans="1:9" x14ac:dyDescent="0.25">
      <c r="A5" s="78"/>
      <c r="B5" s="82"/>
      <c r="F5" s="83"/>
      <c r="G5" s="83"/>
      <c r="H5" s="83"/>
    </row>
    <row r="6" spans="1:9" s="86" customFormat="1" ht="32.25" customHeight="1" thickBot="1" x14ac:dyDescent="0.3">
      <c r="A6" s="84" t="s">
        <v>153</v>
      </c>
      <c r="B6" s="85" t="s">
        <v>154</v>
      </c>
      <c r="C6" s="85" t="s">
        <v>155</v>
      </c>
      <c r="D6" s="85" t="s">
        <v>156</v>
      </c>
      <c r="E6" s="85" t="s">
        <v>157</v>
      </c>
      <c r="F6" s="85" t="s">
        <v>158</v>
      </c>
      <c r="G6" s="85" t="s">
        <v>159</v>
      </c>
      <c r="H6" s="85" t="s">
        <v>160</v>
      </c>
      <c r="I6" s="85" t="s">
        <v>161</v>
      </c>
    </row>
    <row r="7" spans="1:9" ht="15.75" thickBot="1" x14ac:dyDescent="0.3">
      <c r="A7" s="87" t="s">
        <v>162</v>
      </c>
    </row>
    <row r="8" spans="1:9" x14ac:dyDescent="0.25">
      <c r="A8" s="78" t="s">
        <v>163</v>
      </c>
      <c r="B8" s="16">
        <v>127</v>
      </c>
      <c r="C8" s="16">
        <f>B8*5</f>
        <v>635</v>
      </c>
      <c r="D8" s="88">
        <f>B4</f>
        <v>15</v>
      </c>
      <c r="E8" s="88">
        <f>C8*D8*52</f>
        <v>495300</v>
      </c>
      <c r="F8" s="88">
        <f>E8*$F$4</f>
        <v>37890.449999999997</v>
      </c>
      <c r="G8" s="88">
        <f>E8*$G$4</f>
        <v>396.24</v>
      </c>
      <c r="H8" s="88">
        <f>E8*$H$4</f>
        <v>3566.16</v>
      </c>
      <c r="I8" s="88">
        <f>SUM(E8:H8)</f>
        <v>537152.85</v>
      </c>
    </row>
    <row r="9" spans="1:9" x14ac:dyDescent="0.25">
      <c r="A9" s="78" t="s">
        <v>164</v>
      </c>
      <c r="C9" s="16">
        <v>16</v>
      </c>
      <c r="D9" s="88">
        <f>B4</f>
        <v>15</v>
      </c>
      <c r="E9" s="88">
        <f>C9*D9*52</f>
        <v>12480</v>
      </c>
      <c r="F9" s="88">
        <f>E9*$F$4</f>
        <v>954.72</v>
      </c>
      <c r="G9" s="88">
        <f>E9*$G$4</f>
        <v>9.984</v>
      </c>
      <c r="H9" s="88">
        <f>E9*$H$4</f>
        <v>89.855999999999995</v>
      </c>
      <c r="I9" s="88">
        <f>SUM(E9:H9)</f>
        <v>13534.56</v>
      </c>
    </row>
    <row r="10" spans="1:9" x14ac:dyDescent="0.25">
      <c r="A10" s="78" t="s">
        <v>165</v>
      </c>
      <c r="C10" s="16">
        <v>16</v>
      </c>
      <c r="D10" s="88">
        <f>B4</f>
        <v>15</v>
      </c>
      <c r="E10" s="88">
        <f>C10*D10*52</f>
        <v>12480</v>
      </c>
      <c r="F10" s="88">
        <f>E10*$F$4</f>
        <v>954.72</v>
      </c>
      <c r="G10" s="88">
        <f>E10*$G$4</f>
        <v>9.984</v>
      </c>
      <c r="H10" s="88">
        <f>E10*$H$4</f>
        <v>89.855999999999995</v>
      </c>
      <c r="I10" s="88">
        <f>SUM(E10:H10)</f>
        <v>13534.56</v>
      </c>
    </row>
    <row r="11" spans="1:9" x14ac:dyDescent="0.25">
      <c r="A11" s="78"/>
    </row>
    <row r="12" spans="1:9" x14ac:dyDescent="0.25">
      <c r="A12" s="89" t="s">
        <v>166</v>
      </c>
    </row>
    <row r="13" spans="1:9" x14ac:dyDescent="0.25">
      <c r="A13" s="78" t="s">
        <v>167</v>
      </c>
      <c r="C13" s="16">
        <v>336</v>
      </c>
      <c r="D13" s="88">
        <f>B4</f>
        <v>15</v>
      </c>
      <c r="E13" s="88">
        <f>C13*D13</f>
        <v>5040</v>
      </c>
      <c r="F13" s="88">
        <f>E13*$F$4</f>
        <v>385.56</v>
      </c>
      <c r="G13" s="88">
        <f>E13*$G$4</f>
        <v>4.032</v>
      </c>
      <c r="H13" s="88">
        <f>E13*$H$4</f>
        <v>36.287999999999997</v>
      </c>
      <c r="I13" s="88">
        <f>SUM(E13:H13)</f>
        <v>5465.88</v>
      </c>
    </row>
    <row r="14" spans="1:9" x14ac:dyDescent="0.25">
      <c r="A14" s="78"/>
    </row>
    <row r="15" spans="1:9" x14ac:dyDescent="0.25">
      <c r="A15" s="78" t="s">
        <v>168</v>
      </c>
      <c r="C15" s="16">
        <v>120</v>
      </c>
      <c r="D15" s="88">
        <f>B4</f>
        <v>15</v>
      </c>
      <c r="E15" s="88">
        <f>C15*D15</f>
        <v>1800</v>
      </c>
      <c r="F15" s="88">
        <f>E15*$F$4</f>
        <v>137.69999999999999</v>
      </c>
      <c r="G15" s="88">
        <f>E15*$G$4</f>
        <v>1.4400000000000002</v>
      </c>
      <c r="H15" s="88">
        <f>E15*$H$4</f>
        <v>12.959999999999999</v>
      </c>
      <c r="I15" s="88">
        <f>SUM(E15:H15)</f>
        <v>1952.1000000000001</v>
      </c>
    </row>
    <row r="16" spans="1:9" x14ac:dyDescent="0.25">
      <c r="A16" s="78"/>
      <c r="B16" s="90" t="s">
        <v>169</v>
      </c>
    </row>
    <row r="17" spans="1:9" x14ac:dyDescent="0.25">
      <c r="A17" s="78" t="s">
        <v>170</v>
      </c>
      <c r="B17" s="102">
        <v>12</v>
      </c>
      <c r="C17" s="16">
        <v>60</v>
      </c>
      <c r="D17" s="88">
        <f>B4</f>
        <v>15</v>
      </c>
      <c r="E17" s="88">
        <f>B17*C17*D17</f>
        <v>10800</v>
      </c>
      <c r="F17" s="88">
        <f t="shared" ref="F17:F21" si="1">E17*$F$4</f>
        <v>826.19999999999993</v>
      </c>
      <c r="G17" s="88">
        <f t="shared" ref="G17:G21" si="2">E17*$G$4</f>
        <v>8.64</v>
      </c>
      <c r="H17" s="88">
        <f t="shared" ref="H17:H21" si="3">E17*$H$4</f>
        <v>77.759999999999991</v>
      </c>
      <c r="I17" s="88">
        <f t="shared" ref="I17:I21" si="4">SUM(E17:H17)</f>
        <v>11712.6</v>
      </c>
    </row>
    <row r="18" spans="1:9" x14ac:dyDescent="0.25">
      <c r="A18" s="78" t="s">
        <v>171</v>
      </c>
      <c r="B18" s="102">
        <v>12</v>
      </c>
      <c r="C18" s="16">
        <v>40</v>
      </c>
      <c r="D18" s="88">
        <f>B4</f>
        <v>15</v>
      </c>
      <c r="E18" s="88">
        <f t="shared" ref="E18:E21" si="5">B18*C18*D18</f>
        <v>7200</v>
      </c>
      <c r="F18" s="88">
        <f t="shared" si="1"/>
        <v>550.79999999999995</v>
      </c>
      <c r="G18" s="88">
        <f t="shared" si="2"/>
        <v>5.7600000000000007</v>
      </c>
      <c r="H18" s="88">
        <f t="shared" si="3"/>
        <v>51.839999999999996</v>
      </c>
      <c r="I18" s="88">
        <f t="shared" si="4"/>
        <v>7808.4000000000005</v>
      </c>
    </row>
    <row r="19" spans="1:9" x14ac:dyDescent="0.25">
      <c r="A19" s="78" t="s">
        <v>172</v>
      </c>
      <c r="B19" s="92">
        <v>1</v>
      </c>
      <c r="C19" s="16">
        <v>80</v>
      </c>
      <c r="D19" s="88">
        <f>B4</f>
        <v>15</v>
      </c>
      <c r="E19" s="88">
        <f t="shared" si="5"/>
        <v>1200</v>
      </c>
      <c r="F19" s="88">
        <f t="shared" si="1"/>
        <v>91.8</v>
      </c>
      <c r="G19" s="88">
        <f t="shared" si="2"/>
        <v>0.96000000000000008</v>
      </c>
      <c r="H19" s="88">
        <f t="shared" si="3"/>
        <v>8.64</v>
      </c>
      <c r="I19" s="88">
        <f t="shared" si="4"/>
        <v>1301.4000000000001</v>
      </c>
    </row>
    <row r="20" spans="1:9" x14ac:dyDescent="0.25">
      <c r="A20" s="78" t="s">
        <v>173</v>
      </c>
      <c r="B20" s="92">
        <v>2</v>
      </c>
      <c r="C20" s="16">
        <v>60</v>
      </c>
      <c r="D20" s="88">
        <f>B4</f>
        <v>15</v>
      </c>
      <c r="E20" s="88">
        <f t="shared" si="5"/>
        <v>1800</v>
      </c>
      <c r="F20" s="88">
        <f t="shared" si="1"/>
        <v>137.69999999999999</v>
      </c>
      <c r="G20" s="88">
        <f t="shared" si="2"/>
        <v>1.4400000000000002</v>
      </c>
      <c r="H20" s="88">
        <f t="shared" si="3"/>
        <v>12.959999999999999</v>
      </c>
      <c r="I20" s="88">
        <f t="shared" si="4"/>
        <v>1952.1000000000001</v>
      </c>
    </row>
    <row r="21" spans="1:9" x14ac:dyDescent="0.25">
      <c r="A21" s="78" t="s">
        <v>174</v>
      </c>
      <c r="B21" s="91"/>
      <c r="C21" s="16">
        <v>40</v>
      </c>
      <c r="D21" s="88">
        <f>B4</f>
        <v>15</v>
      </c>
      <c r="E21" s="88">
        <f t="shared" si="5"/>
        <v>0</v>
      </c>
      <c r="F21" s="88">
        <f t="shared" si="1"/>
        <v>0</v>
      </c>
      <c r="G21" s="88">
        <f t="shared" si="2"/>
        <v>0</v>
      </c>
      <c r="H21" s="88">
        <f t="shared" si="3"/>
        <v>0</v>
      </c>
      <c r="I21" s="88">
        <f t="shared" si="4"/>
        <v>0</v>
      </c>
    </row>
    <row r="22" spans="1:9" x14ac:dyDescent="0.25">
      <c r="A22" s="78"/>
    </row>
    <row r="23" spans="1:9" x14ac:dyDescent="0.25">
      <c r="A23" s="78"/>
    </row>
    <row r="24" spans="1:9" ht="15.75" thickBot="1" x14ac:dyDescent="0.3">
      <c r="A24" s="93" t="s">
        <v>162</v>
      </c>
      <c r="E24" s="94">
        <f>SUM(E8:E22)</f>
        <v>548100</v>
      </c>
      <c r="F24" s="94">
        <f>SUM(F8:F22)</f>
        <v>41929.649999999994</v>
      </c>
      <c r="G24" s="94">
        <f>SUM(G8:G22)</f>
        <v>438.4799999999999</v>
      </c>
      <c r="H24" s="94">
        <f>SUM(H8:H22)</f>
        <v>3946.3199999999993</v>
      </c>
      <c r="I24" s="94">
        <f>SUM(I8:I22)</f>
        <v>594414.45000000007</v>
      </c>
    </row>
    <row r="25" spans="1:9" ht="15.75" thickTop="1" x14ac:dyDescent="0.25">
      <c r="A25" s="78"/>
    </row>
    <row r="26" spans="1:9" x14ac:dyDescent="0.25">
      <c r="A26" s="95" t="s">
        <v>175</v>
      </c>
    </row>
    <row r="27" spans="1:9" x14ac:dyDescent="0.25">
      <c r="A27" s="16" t="s">
        <v>176</v>
      </c>
      <c r="C27" s="16">
        <v>80</v>
      </c>
      <c r="D27" s="96">
        <f>B4</f>
        <v>15</v>
      </c>
      <c r="E27" s="69">
        <f>D27*C27*52</f>
        <v>62400</v>
      </c>
      <c r="F27" s="88">
        <f t="shared" ref="F27:F28" si="6">E27*$F$4</f>
        <v>4773.6000000000004</v>
      </c>
      <c r="G27" s="88">
        <f t="shared" ref="G27:G28" si="7">E27*$G$4</f>
        <v>49.92</v>
      </c>
      <c r="H27" s="88">
        <f t="shared" ref="H27:H28" si="8">E27*$H$4</f>
        <v>449.28</v>
      </c>
      <c r="I27" s="88">
        <f t="shared" ref="I27:I28" si="9">SUM(E27:H27)</f>
        <v>67672.800000000003</v>
      </c>
    </row>
    <row r="28" spans="1:9" x14ac:dyDescent="0.25">
      <c r="A28" s="78" t="s">
        <v>177</v>
      </c>
      <c r="B28" s="16">
        <v>16.12</v>
      </c>
      <c r="C28" s="16">
        <v>32</v>
      </c>
      <c r="D28" s="103">
        <f>C4</f>
        <v>16.12</v>
      </c>
      <c r="E28" s="69">
        <f>D28*C28*52</f>
        <v>26823.68</v>
      </c>
      <c r="F28" s="88">
        <f t="shared" si="6"/>
        <v>2052.01152</v>
      </c>
      <c r="G28" s="88">
        <f t="shared" si="7"/>
        <v>21.458944000000002</v>
      </c>
      <c r="H28" s="88">
        <f t="shared" si="8"/>
        <v>193.13049599999999</v>
      </c>
      <c r="I28" s="88">
        <f t="shared" si="9"/>
        <v>29090.280960000004</v>
      </c>
    </row>
    <row r="30" spans="1:9" ht="15.75" thickBot="1" x14ac:dyDescent="0.3">
      <c r="A30" s="95" t="s">
        <v>175</v>
      </c>
      <c r="E30" s="94">
        <f>SUM(E27:E29)</f>
        <v>89223.679999999993</v>
      </c>
      <c r="F30" s="94">
        <f>SUM(F27:F29)</f>
        <v>6825.6115200000004</v>
      </c>
      <c r="G30" s="94">
        <f t="shared" ref="G30:I30" si="10">SUM(G27:G29)</f>
        <v>71.378944000000004</v>
      </c>
      <c r="H30" s="94">
        <f t="shared" si="10"/>
        <v>642.41049599999997</v>
      </c>
      <c r="I30" s="94">
        <f t="shared" si="10"/>
        <v>96763.080960000007</v>
      </c>
    </row>
    <row r="31" spans="1:9" ht="15.75" thickTop="1" x14ac:dyDescent="0.25"/>
    <row r="32" spans="1:9" x14ac:dyDescent="0.25">
      <c r="A32" s="97" t="s">
        <v>178</v>
      </c>
      <c r="B32" s="98" t="s">
        <v>111</v>
      </c>
      <c r="C32" s="98" t="s">
        <v>112</v>
      </c>
    </row>
    <row r="33" spans="1:9" x14ac:dyDescent="0.25">
      <c r="A33" s="16" t="s">
        <v>179</v>
      </c>
      <c r="B33" s="96">
        <v>66000</v>
      </c>
      <c r="C33" s="96">
        <v>66000</v>
      </c>
      <c r="D33" s="69" t="s">
        <v>180</v>
      </c>
      <c r="E33" s="69">
        <v>66000</v>
      </c>
      <c r="F33" s="88">
        <f t="shared" ref="F33:F34" si="11">E33*$F$4</f>
        <v>5049</v>
      </c>
      <c r="G33" s="88">
        <f t="shared" ref="G33:G34" si="12">E33*$G$4</f>
        <v>52.800000000000004</v>
      </c>
      <c r="H33" s="88">
        <f t="shared" ref="H33:H34" si="13">E33*$H$4</f>
        <v>475.2</v>
      </c>
      <c r="I33" s="88">
        <f t="shared" ref="I33:I34" si="14">SUM(E33:H33)</f>
        <v>71577</v>
      </c>
    </row>
    <row r="34" spans="1:9" x14ac:dyDescent="0.25">
      <c r="A34" s="16" t="s">
        <v>181</v>
      </c>
      <c r="B34" s="96">
        <v>46000</v>
      </c>
      <c r="C34" s="69"/>
      <c r="D34" s="99">
        <v>0.02</v>
      </c>
      <c r="E34" s="88">
        <f>B34*1.02</f>
        <v>46920</v>
      </c>
      <c r="F34" s="88">
        <f t="shared" si="11"/>
        <v>3589.38</v>
      </c>
      <c r="G34" s="88">
        <f t="shared" si="12"/>
        <v>37.536000000000001</v>
      </c>
      <c r="H34" s="88">
        <f t="shared" si="13"/>
        <v>337.82400000000001</v>
      </c>
      <c r="I34" s="88">
        <f t="shared" si="14"/>
        <v>50884.74</v>
      </c>
    </row>
    <row r="35" spans="1:9" x14ac:dyDescent="0.25">
      <c r="C35" s="96"/>
      <c r="D35" s="99"/>
    </row>
    <row r="36" spans="1:9" ht="15.75" thickBot="1" x14ac:dyDescent="0.3">
      <c r="A36" s="97" t="s">
        <v>182</v>
      </c>
      <c r="E36" s="94">
        <f>SUM(E33:E35)</f>
        <v>112920</v>
      </c>
      <c r="F36" s="94">
        <f t="shared" ref="F36:I36" si="15">SUM(F33:F35)</f>
        <v>8638.380000000001</v>
      </c>
      <c r="G36" s="94">
        <f t="shared" si="15"/>
        <v>90.336000000000013</v>
      </c>
      <c r="H36" s="94">
        <f t="shared" si="15"/>
        <v>813.024</v>
      </c>
      <c r="I36" s="94">
        <f t="shared" si="15"/>
        <v>122461.73999999999</v>
      </c>
    </row>
    <row r="37" spans="1:9" ht="15.75" thickTop="1" x14ac:dyDescent="0.25"/>
    <row r="39" spans="1:9" ht="15.75" thickBot="1" x14ac:dyDescent="0.3">
      <c r="A39" s="100" t="s">
        <v>126</v>
      </c>
      <c r="B39" s="100"/>
      <c r="C39" s="100"/>
      <c r="D39" s="100"/>
      <c r="E39" s="101">
        <f>E24+E30+E36</f>
        <v>750243.67999999993</v>
      </c>
      <c r="F39" s="101">
        <f t="shared" ref="F39:I39" si="16">F24+F30+F36</f>
        <v>57393.64151999999</v>
      </c>
      <c r="G39" s="101">
        <f t="shared" si="16"/>
        <v>600.19494399999985</v>
      </c>
      <c r="H39" s="101">
        <f t="shared" si="16"/>
        <v>5401.7544959999996</v>
      </c>
      <c r="I39" s="101">
        <f t="shared" si="16"/>
        <v>813639.27096000011</v>
      </c>
    </row>
    <row r="40" spans="1:9" ht="15.75" thickTop="1" x14ac:dyDescent="0.25"/>
  </sheetData>
  <pageMargins left="0.25" right="0.25" top="0.75" bottom="0.75" header="0.3" footer="0.3"/>
  <pageSetup scale="84" orientation="landscape" r:id="rId1"/>
  <headerFooter>
    <oddHeader>&amp;C&amp;"-,Bold"&amp;22 2021 NOTA SALARY - 0% Model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3BB7-2E81-48AB-B623-58A6AE59EE69}">
  <sheetPr>
    <pageSetUpPr fitToPage="1"/>
  </sheetPr>
  <dimension ref="A1:I40"/>
  <sheetViews>
    <sheetView topLeftCell="A19" zoomScaleNormal="100" workbookViewId="0">
      <selection activeCell="D4" sqref="D4"/>
    </sheetView>
  </sheetViews>
  <sheetFormatPr defaultRowHeight="15" x14ac:dyDescent="0.25"/>
  <cols>
    <col min="1" max="1" width="31.7109375" style="16" customWidth="1"/>
    <col min="2" max="2" width="12" style="16" customWidth="1"/>
    <col min="3" max="3" width="12.85546875" style="16" customWidth="1"/>
    <col min="4" max="4" width="11.28515625" style="16" customWidth="1"/>
    <col min="5" max="5" width="13" style="16" customWidth="1"/>
    <col min="6" max="6" width="10.85546875" style="16" bestFit="1" customWidth="1"/>
    <col min="7" max="7" width="9.140625" style="16"/>
    <col min="8" max="8" width="9.85546875" style="16" bestFit="1" customWidth="1"/>
    <col min="9" max="9" width="11.85546875" style="16" bestFit="1" customWidth="1"/>
    <col min="10" max="16384" width="9.140625" style="16"/>
  </cols>
  <sheetData>
    <row r="1" spans="1:9" ht="15.75" thickBot="1" x14ac:dyDescent="0.3">
      <c r="B1" s="98" t="s">
        <v>185</v>
      </c>
      <c r="C1" s="98" t="s">
        <v>177</v>
      </c>
      <c r="D1" s="98" t="s">
        <v>186</v>
      </c>
      <c r="E1" s="98" t="s">
        <v>124</v>
      </c>
    </row>
    <row r="2" spans="1:9" ht="15.75" thickBot="1" x14ac:dyDescent="0.3">
      <c r="A2" s="78" t="s">
        <v>183</v>
      </c>
      <c r="B2" s="79">
        <v>15</v>
      </c>
      <c r="C2" s="79">
        <v>16.12</v>
      </c>
      <c r="D2" s="79">
        <v>46000</v>
      </c>
      <c r="E2" s="79">
        <v>66000</v>
      </c>
    </row>
    <row r="3" spans="1:9" ht="15.75" thickBot="1" x14ac:dyDescent="0.3">
      <c r="A3" s="78" t="s">
        <v>152</v>
      </c>
      <c r="B3" s="80">
        <v>0.02</v>
      </c>
      <c r="C3" s="80">
        <v>0.02</v>
      </c>
      <c r="D3" s="80">
        <v>0.02</v>
      </c>
      <c r="E3" s="80">
        <v>0</v>
      </c>
    </row>
    <row r="4" spans="1:9" ht="15.75" thickBot="1" x14ac:dyDescent="0.3">
      <c r="A4" s="78" t="s">
        <v>184</v>
      </c>
      <c r="B4" s="79">
        <f>(B2*B3)+B2</f>
        <v>15.3</v>
      </c>
      <c r="C4" s="79">
        <f t="shared" ref="C4:E4" si="0">(C2*C3)+C2</f>
        <v>16.442399999999999</v>
      </c>
      <c r="D4" s="79">
        <f t="shared" si="0"/>
        <v>46920</v>
      </c>
      <c r="E4" s="79">
        <f t="shared" si="0"/>
        <v>66000</v>
      </c>
      <c r="F4" s="81">
        <v>7.6499999999999999E-2</v>
      </c>
      <c r="G4" s="81">
        <v>8.0000000000000004E-4</v>
      </c>
      <c r="H4" s="81">
        <v>7.1999999999999998E-3</v>
      </c>
    </row>
    <row r="5" spans="1:9" x14ac:dyDescent="0.25">
      <c r="A5" s="78"/>
      <c r="B5" s="82"/>
      <c r="F5" s="83"/>
      <c r="G5" s="83"/>
      <c r="H5" s="83"/>
    </row>
    <row r="6" spans="1:9" s="86" customFormat="1" ht="32.25" customHeight="1" thickBot="1" x14ac:dyDescent="0.3">
      <c r="A6" s="84" t="s">
        <v>153</v>
      </c>
      <c r="B6" s="85" t="s">
        <v>154</v>
      </c>
      <c r="C6" s="85" t="s">
        <v>155</v>
      </c>
      <c r="D6" s="85" t="s">
        <v>156</v>
      </c>
      <c r="E6" s="85" t="s">
        <v>157</v>
      </c>
      <c r="F6" s="85" t="s">
        <v>158</v>
      </c>
      <c r="G6" s="85" t="s">
        <v>159</v>
      </c>
      <c r="H6" s="85" t="s">
        <v>160</v>
      </c>
      <c r="I6" s="85" t="s">
        <v>161</v>
      </c>
    </row>
    <row r="7" spans="1:9" ht="15.75" thickBot="1" x14ac:dyDescent="0.3">
      <c r="A7" s="87" t="s">
        <v>162</v>
      </c>
    </row>
    <row r="8" spans="1:9" x14ac:dyDescent="0.25">
      <c r="A8" s="78" t="s">
        <v>163</v>
      </c>
      <c r="B8" s="16">
        <v>127</v>
      </c>
      <c r="C8" s="16">
        <f>B8*5</f>
        <v>635</v>
      </c>
      <c r="D8" s="88">
        <f>B4</f>
        <v>15.3</v>
      </c>
      <c r="E8" s="88">
        <f>C8*D8*52</f>
        <v>505206</v>
      </c>
      <c r="F8" s="88">
        <f>E8*$F$4</f>
        <v>38648.258999999998</v>
      </c>
      <c r="G8" s="88">
        <f>E8*$G$4</f>
        <v>404.16480000000001</v>
      </c>
      <c r="H8" s="88">
        <f>E8*$H$4</f>
        <v>3637.4832000000001</v>
      </c>
      <c r="I8" s="88">
        <f>SUM(E8:H8)</f>
        <v>547895.90700000001</v>
      </c>
    </row>
    <row r="9" spans="1:9" x14ac:dyDescent="0.25">
      <c r="A9" s="78" t="s">
        <v>164</v>
      </c>
      <c r="C9" s="16">
        <v>16</v>
      </c>
      <c r="D9" s="88">
        <f>B4</f>
        <v>15.3</v>
      </c>
      <c r="E9" s="88">
        <f>C9*D9*52</f>
        <v>12729.6</v>
      </c>
      <c r="F9" s="88">
        <f>E9*$F$4</f>
        <v>973.81439999999998</v>
      </c>
      <c r="G9" s="88">
        <f>E9*$G$4</f>
        <v>10.183680000000001</v>
      </c>
      <c r="H9" s="88">
        <f>E9*$H$4</f>
        <v>91.653120000000001</v>
      </c>
      <c r="I9" s="88">
        <f>SUM(E9:H9)</f>
        <v>13805.251200000001</v>
      </c>
    </row>
    <row r="10" spans="1:9" x14ac:dyDescent="0.25">
      <c r="A10" s="78" t="s">
        <v>165</v>
      </c>
      <c r="C10" s="16">
        <v>16</v>
      </c>
      <c r="D10" s="88">
        <f>B4</f>
        <v>15.3</v>
      </c>
      <c r="E10" s="88">
        <f>C10*D10*52</f>
        <v>12729.6</v>
      </c>
      <c r="F10" s="88">
        <f>E10*$F$4</f>
        <v>973.81439999999998</v>
      </c>
      <c r="G10" s="88">
        <f>E10*$G$4</f>
        <v>10.183680000000001</v>
      </c>
      <c r="H10" s="88">
        <f>E10*$H$4</f>
        <v>91.653120000000001</v>
      </c>
      <c r="I10" s="88">
        <f>SUM(E10:H10)</f>
        <v>13805.251200000001</v>
      </c>
    </row>
    <row r="11" spans="1:9" x14ac:dyDescent="0.25">
      <c r="A11" s="78"/>
    </row>
    <row r="12" spans="1:9" x14ac:dyDescent="0.25">
      <c r="A12" s="89" t="s">
        <v>166</v>
      </c>
    </row>
    <row r="13" spans="1:9" x14ac:dyDescent="0.25">
      <c r="A13" s="78" t="s">
        <v>167</v>
      </c>
      <c r="C13" s="16">
        <v>336</v>
      </c>
      <c r="D13" s="88">
        <f>B4</f>
        <v>15.3</v>
      </c>
      <c r="E13" s="88">
        <f>C13*D13</f>
        <v>5140.8</v>
      </c>
      <c r="F13" s="88">
        <f>E13*$F$4</f>
        <v>393.27120000000002</v>
      </c>
      <c r="G13" s="88">
        <f>E13*$G$4</f>
        <v>4.1126400000000007</v>
      </c>
      <c r="H13" s="88">
        <f>E13*$H$4</f>
        <v>37.013759999999998</v>
      </c>
      <c r="I13" s="88">
        <f>SUM(E13:H13)</f>
        <v>5575.1976000000004</v>
      </c>
    </row>
    <row r="14" spans="1:9" x14ac:dyDescent="0.25">
      <c r="A14" s="78"/>
    </row>
    <row r="15" spans="1:9" x14ac:dyDescent="0.25">
      <c r="A15" s="78" t="s">
        <v>168</v>
      </c>
      <c r="C15" s="16">
        <v>120</v>
      </c>
      <c r="D15" s="88">
        <f>B4</f>
        <v>15.3</v>
      </c>
      <c r="E15" s="88">
        <f>C15*D15</f>
        <v>1836</v>
      </c>
      <c r="F15" s="88">
        <f>E15*$F$4</f>
        <v>140.45400000000001</v>
      </c>
      <c r="G15" s="88">
        <f>E15*$G$4</f>
        <v>1.4688000000000001</v>
      </c>
      <c r="H15" s="88">
        <f>E15*$H$4</f>
        <v>13.219199999999999</v>
      </c>
      <c r="I15" s="88">
        <f>SUM(E15:H15)</f>
        <v>1991.1420000000001</v>
      </c>
    </row>
    <row r="16" spans="1:9" x14ac:dyDescent="0.25">
      <c r="A16" s="78"/>
      <c r="B16" s="90" t="s">
        <v>169</v>
      </c>
    </row>
    <row r="17" spans="1:9" x14ac:dyDescent="0.25">
      <c r="A17" s="78" t="s">
        <v>170</v>
      </c>
      <c r="B17" s="102">
        <v>12</v>
      </c>
      <c r="C17" s="16">
        <v>60</v>
      </c>
      <c r="D17" s="88">
        <f>B4</f>
        <v>15.3</v>
      </c>
      <c r="E17" s="88">
        <f>B17*C17*D17</f>
        <v>11016</v>
      </c>
      <c r="F17" s="88">
        <f t="shared" ref="F17:F21" si="1">E17*$F$4</f>
        <v>842.72399999999993</v>
      </c>
      <c r="G17" s="88">
        <f t="shared" ref="G17:G21" si="2">E17*$G$4</f>
        <v>8.8128000000000011</v>
      </c>
      <c r="H17" s="88">
        <f t="shared" ref="H17:H21" si="3">E17*$H$4</f>
        <v>79.315200000000004</v>
      </c>
      <c r="I17" s="88">
        <f t="shared" ref="I17:I21" si="4">SUM(E17:H17)</f>
        <v>11946.851999999999</v>
      </c>
    </row>
    <row r="18" spans="1:9" x14ac:dyDescent="0.25">
      <c r="A18" s="78" t="s">
        <v>171</v>
      </c>
      <c r="B18" s="102">
        <v>12</v>
      </c>
      <c r="C18" s="16">
        <v>40</v>
      </c>
      <c r="D18" s="88">
        <f>B4</f>
        <v>15.3</v>
      </c>
      <c r="E18" s="88">
        <f t="shared" ref="E18:E21" si="5">B18*C18*D18</f>
        <v>7344</v>
      </c>
      <c r="F18" s="88">
        <f t="shared" si="1"/>
        <v>561.81600000000003</v>
      </c>
      <c r="G18" s="88">
        <f t="shared" si="2"/>
        <v>5.8752000000000004</v>
      </c>
      <c r="H18" s="88">
        <f t="shared" si="3"/>
        <v>52.876799999999996</v>
      </c>
      <c r="I18" s="88">
        <f t="shared" si="4"/>
        <v>7964.5680000000002</v>
      </c>
    </row>
    <row r="19" spans="1:9" x14ac:dyDescent="0.25">
      <c r="A19" s="78" t="s">
        <v>172</v>
      </c>
      <c r="B19" s="92">
        <v>1</v>
      </c>
      <c r="C19" s="16">
        <v>80</v>
      </c>
      <c r="D19" s="88">
        <f>B4</f>
        <v>15.3</v>
      </c>
      <c r="E19" s="88">
        <f t="shared" si="5"/>
        <v>1224</v>
      </c>
      <c r="F19" s="88">
        <f t="shared" si="1"/>
        <v>93.635999999999996</v>
      </c>
      <c r="G19" s="88">
        <f t="shared" si="2"/>
        <v>0.97920000000000007</v>
      </c>
      <c r="H19" s="88">
        <f t="shared" si="3"/>
        <v>8.8127999999999993</v>
      </c>
      <c r="I19" s="88">
        <f t="shared" si="4"/>
        <v>1327.4279999999999</v>
      </c>
    </row>
    <row r="20" spans="1:9" x14ac:dyDescent="0.25">
      <c r="A20" s="78" t="s">
        <v>173</v>
      </c>
      <c r="B20" s="92">
        <v>2</v>
      </c>
      <c r="C20" s="16">
        <v>60</v>
      </c>
      <c r="D20" s="88">
        <f>B4</f>
        <v>15.3</v>
      </c>
      <c r="E20" s="88">
        <f t="shared" si="5"/>
        <v>1836</v>
      </c>
      <c r="F20" s="88">
        <f t="shared" si="1"/>
        <v>140.45400000000001</v>
      </c>
      <c r="G20" s="88">
        <f t="shared" si="2"/>
        <v>1.4688000000000001</v>
      </c>
      <c r="H20" s="88">
        <f t="shared" si="3"/>
        <v>13.219199999999999</v>
      </c>
      <c r="I20" s="88">
        <f t="shared" si="4"/>
        <v>1991.1420000000001</v>
      </c>
    </row>
    <row r="21" spans="1:9" x14ac:dyDescent="0.25">
      <c r="A21" s="78" t="s">
        <v>174</v>
      </c>
      <c r="B21" s="91"/>
      <c r="C21" s="16">
        <v>40</v>
      </c>
      <c r="D21" s="88">
        <f>B4</f>
        <v>15.3</v>
      </c>
      <c r="E21" s="88">
        <f t="shared" si="5"/>
        <v>0</v>
      </c>
      <c r="F21" s="88">
        <f t="shared" si="1"/>
        <v>0</v>
      </c>
      <c r="G21" s="88">
        <f t="shared" si="2"/>
        <v>0</v>
      </c>
      <c r="H21" s="88">
        <f t="shared" si="3"/>
        <v>0</v>
      </c>
      <c r="I21" s="88">
        <f t="shared" si="4"/>
        <v>0</v>
      </c>
    </row>
    <row r="22" spans="1:9" x14ac:dyDescent="0.25">
      <c r="A22" s="78"/>
    </row>
    <row r="23" spans="1:9" x14ac:dyDescent="0.25">
      <c r="A23" s="78"/>
    </row>
    <row r="24" spans="1:9" ht="15.75" thickBot="1" x14ac:dyDescent="0.3">
      <c r="A24" s="93" t="s">
        <v>162</v>
      </c>
      <c r="E24" s="94">
        <f>SUM(E8:E22)</f>
        <v>559062</v>
      </c>
      <c r="F24" s="94">
        <f>SUM(F8:F22)</f>
        <v>42768.243000000002</v>
      </c>
      <c r="G24" s="94">
        <f>SUM(G8:G22)</f>
        <v>447.24959999999993</v>
      </c>
      <c r="H24" s="94">
        <f>SUM(H8:H22)</f>
        <v>4025.2464</v>
      </c>
      <c r="I24" s="94">
        <f>SUM(I8:I22)</f>
        <v>606302.73899999994</v>
      </c>
    </row>
    <row r="25" spans="1:9" ht="15.75" thickTop="1" x14ac:dyDescent="0.25">
      <c r="A25" s="78"/>
    </row>
    <row r="26" spans="1:9" x14ac:dyDescent="0.25">
      <c r="A26" s="95" t="s">
        <v>175</v>
      </c>
    </row>
    <row r="27" spans="1:9" x14ac:dyDescent="0.25">
      <c r="A27" s="16" t="s">
        <v>176</v>
      </c>
      <c r="C27" s="16">
        <v>80</v>
      </c>
      <c r="D27" s="96">
        <f>B4</f>
        <v>15.3</v>
      </c>
      <c r="E27" s="69">
        <f>D27*C27*52</f>
        <v>63648</v>
      </c>
      <c r="F27" s="88">
        <f t="shared" ref="F27:F28" si="6">E27*$F$4</f>
        <v>4869.0720000000001</v>
      </c>
      <c r="G27" s="88">
        <f t="shared" ref="G27:G28" si="7">E27*$G$4</f>
        <v>50.918400000000005</v>
      </c>
      <c r="H27" s="88">
        <f t="shared" ref="H27:H28" si="8">E27*$H$4</f>
        <v>458.26560000000001</v>
      </c>
      <c r="I27" s="88">
        <f t="shared" ref="I27:I28" si="9">SUM(E27:H27)</f>
        <v>69026.255999999994</v>
      </c>
    </row>
    <row r="28" spans="1:9" x14ac:dyDescent="0.25">
      <c r="A28" s="78" t="s">
        <v>177</v>
      </c>
      <c r="B28" s="16">
        <v>16.12</v>
      </c>
      <c r="C28" s="16">
        <v>32</v>
      </c>
      <c r="D28" s="103">
        <f>C4</f>
        <v>16.442399999999999</v>
      </c>
      <c r="E28" s="69">
        <f>D28*C28*52</f>
        <v>27360.153599999998</v>
      </c>
      <c r="F28" s="88">
        <f t="shared" si="6"/>
        <v>2093.0517503999999</v>
      </c>
      <c r="G28" s="88">
        <f t="shared" si="7"/>
        <v>21.888122880000001</v>
      </c>
      <c r="H28" s="88">
        <f t="shared" si="8"/>
        <v>196.99310591999998</v>
      </c>
      <c r="I28" s="88">
        <f t="shared" si="9"/>
        <v>29672.086579199997</v>
      </c>
    </row>
    <row r="30" spans="1:9" ht="15.75" thickBot="1" x14ac:dyDescent="0.3">
      <c r="A30" s="95" t="s">
        <v>175</v>
      </c>
      <c r="E30" s="94">
        <f>SUM(E27:E29)</f>
        <v>91008.153599999991</v>
      </c>
      <c r="F30" s="94">
        <f>SUM(F27:F29)</f>
        <v>6962.1237504000001</v>
      </c>
      <c r="G30" s="94">
        <f t="shared" ref="G30:I30" si="10">SUM(G27:G29)</f>
        <v>72.806522880000003</v>
      </c>
      <c r="H30" s="94">
        <f t="shared" si="10"/>
        <v>655.25870592000001</v>
      </c>
      <c r="I30" s="94">
        <f t="shared" si="10"/>
        <v>98698.342579199991</v>
      </c>
    </row>
    <row r="31" spans="1:9" ht="15.75" thickTop="1" x14ac:dyDescent="0.25"/>
    <row r="32" spans="1:9" x14ac:dyDescent="0.25">
      <c r="A32" s="97" t="s">
        <v>178</v>
      </c>
      <c r="B32" s="98" t="s">
        <v>111</v>
      </c>
      <c r="C32" s="98" t="s">
        <v>112</v>
      </c>
    </row>
    <row r="33" spans="1:9" x14ac:dyDescent="0.25">
      <c r="A33" s="16" t="s">
        <v>179</v>
      </c>
      <c r="B33" s="96">
        <v>66000</v>
      </c>
      <c r="C33" s="96">
        <v>66000</v>
      </c>
      <c r="D33" s="69" t="s">
        <v>180</v>
      </c>
      <c r="E33" s="69">
        <v>66000</v>
      </c>
      <c r="F33" s="88">
        <f t="shared" ref="F33:F34" si="11">E33*$F$4</f>
        <v>5049</v>
      </c>
      <c r="G33" s="88">
        <f t="shared" ref="G33:G34" si="12">E33*$G$4</f>
        <v>52.800000000000004</v>
      </c>
      <c r="H33" s="88">
        <f t="shared" ref="H33:H34" si="13">E33*$H$4</f>
        <v>475.2</v>
      </c>
      <c r="I33" s="88">
        <f t="shared" ref="I33:I34" si="14">SUM(E33:H33)</f>
        <v>71577</v>
      </c>
    </row>
    <row r="34" spans="1:9" x14ac:dyDescent="0.25">
      <c r="A34" s="16" t="s">
        <v>181</v>
      </c>
      <c r="B34" s="96">
        <v>46000</v>
      </c>
      <c r="C34" s="69"/>
      <c r="D34" s="99">
        <v>0.02</v>
      </c>
      <c r="E34" s="88">
        <f>B34*1.02</f>
        <v>46920</v>
      </c>
      <c r="F34" s="88">
        <f t="shared" si="11"/>
        <v>3589.38</v>
      </c>
      <c r="G34" s="88">
        <f t="shared" si="12"/>
        <v>37.536000000000001</v>
      </c>
      <c r="H34" s="88">
        <f t="shared" si="13"/>
        <v>337.82400000000001</v>
      </c>
      <c r="I34" s="88">
        <f t="shared" si="14"/>
        <v>50884.74</v>
      </c>
    </row>
    <row r="35" spans="1:9" x14ac:dyDescent="0.25">
      <c r="C35" s="96"/>
      <c r="D35" s="99"/>
    </row>
    <row r="36" spans="1:9" ht="15.75" thickBot="1" x14ac:dyDescent="0.3">
      <c r="A36" s="97" t="s">
        <v>182</v>
      </c>
      <c r="E36" s="94">
        <f>SUM(E33:E35)</f>
        <v>112920</v>
      </c>
      <c r="F36" s="94">
        <f t="shared" ref="F36:I36" si="15">SUM(F33:F35)</f>
        <v>8638.380000000001</v>
      </c>
      <c r="G36" s="94">
        <f t="shared" si="15"/>
        <v>90.336000000000013</v>
      </c>
      <c r="H36" s="94">
        <f t="shared" si="15"/>
        <v>813.024</v>
      </c>
      <c r="I36" s="94">
        <f t="shared" si="15"/>
        <v>122461.73999999999</v>
      </c>
    </row>
    <row r="37" spans="1:9" ht="15.75" thickTop="1" x14ac:dyDescent="0.25"/>
    <row r="39" spans="1:9" ht="15.75" thickBot="1" x14ac:dyDescent="0.3">
      <c r="A39" s="100" t="s">
        <v>126</v>
      </c>
      <c r="B39" s="100"/>
      <c r="C39" s="100"/>
      <c r="D39" s="100"/>
      <c r="E39" s="101">
        <f>E24+E30+E36</f>
        <v>762990.15359999996</v>
      </c>
      <c r="F39" s="101">
        <f t="shared" ref="F39:I39" si="16">F24+F30+F36</f>
        <v>58368.746750400009</v>
      </c>
      <c r="G39" s="101">
        <f t="shared" si="16"/>
        <v>610.39212287999999</v>
      </c>
      <c r="H39" s="101">
        <f t="shared" si="16"/>
        <v>5493.5291059199999</v>
      </c>
      <c r="I39" s="101">
        <f t="shared" si="16"/>
        <v>827462.82157919998</v>
      </c>
    </row>
    <row r="40" spans="1:9" ht="15.75" thickTop="1" x14ac:dyDescent="0.25"/>
  </sheetData>
  <pageMargins left="0.25" right="0.25" top="0.75" bottom="0.75" header="0.3" footer="0.3"/>
  <pageSetup scale="84" orientation="landscape" r:id="rId1"/>
  <headerFooter>
    <oddHeader>&amp;C&amp;"-,Bold"&amp;22 2021 NOTA SALARY - 2% Model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49B61-DDC8-4C1A-8D90-47AEEDA38804}">
  <sheetPr>
    <pageSetUpPr fitToPage="1"/>
  </sheetPr>
  <dimension ref="A1:I44"/>
  <sheetViews>
    <sheetView zoomScaleNormal="100" workbookViewId="0">
      <selection activeCell="I44" sqref="I44"/>
    </sheetView>
  </sheetViews>
  <sheetFormatPr defaultRowHeight="15" x14ac:dyDescent="0.25"/>
  <cols>
    <col min="1" max="1" width="31.7109375" style="16" customWidth="1"/>
    <col min="2" max="2" width="13.42578125" style="16" customWidth="1"/>
    <col min="3" max="3" width="15" style="16" customWidth="1"/>
    <col min="4" max="4" width="16.140625" style="16" customWidth="1"/>
    <col min="5" max="5" width="15.7109375" style="16" customWidth="1"/>
    <col min="6" max="6" width="10.85546875" style="16" bestFit="1" customWidth="1"/>
    <col min="7" max="7" width="9.140625" style="16"/>
    <col min="8" max="8" width="9.85546875" style="16" bestFit="1" customWidth="1"/>
    <col min="9" max="9" width="11.85546875" style="16" bestFit="1" customWidth="1"/>
    <col min="10" max="16384" width="9.140625" style="16"/>
  </cols>
  <sheetData>
    <row r="1" spans="1:9" ht="15.75" thickBot="1" x14ac:dyDescent="0.3">
      <c r="B1" s="98" t="s">
        <v>185</v>
      </c>
      <c r="C1" s="98" t="s">
        <v>177</v>
      </c>
      <c r="D1" s="98" t="s">
        <v>186</v>
      </c>
      <c r="E1" s="98" t="s">
        <v>124</v>
      </c>
    </row>
    <row r="2" spans="1:9" ht="15.75" thickBot="1" x14ac:dyDescent="0.3">
      <c r="A2" s="78" t="s">
        <v>183</v>
      </c>
      <c r="B2" s="79">
        <v>15</v>
      </c>
      <c r="C2" s="79">
        <v>16.12</v>
      </c>
      <c r="D2" s="79">
        <v>46000</v>
      </c>
      <c r="E2" s="79">
        <v>66000</v>
      </c>
    </row>
    <row r="3" spans="1:9" ht="15.75" thickBot="1" x14ac:dyDescent="0.3">
      <c r="A3" s="78" t="s">
        <v>152</v>
      </c>
      <c r="B3" s="80">
        <v>0.03</v>
      </c>
      <c r="C3" s="80">
        <v>0.03</v>
      </c>
      <c r="D3" s="80">
        <v>0.05</v>
      </c>
      <c r="E3" s="80">
        <v>0</v>
      </c>
    </row>
    <row r="4" spans="1:9" ht="15.75" thickBot="1" x14ac:dyDescent="0.3">
      <c r="A4" s="78" t="s">
        <v>184</v>
      </c>
      <c r="B4" s="79">
        <f>(B2*B3)+B2</f>
        <v>15.45</v>
      </c>
      <c r="C4" s="79">
        <f t="shared" ref="C4:E4" si="0">(C2*C3)+C2</f>
        <v>16.6036</v>
      </c>
      <c r="D4" s="79">
        <f t="shared" si="0"/>
        <v>48300</v>
      </c>
      <c r="E4" s="79">
        <f t="shared" si="0"/>
        <v>66000</v>
      </c>
      <c r="F4" s="81">
        <v>7.6499999999999999E-2</v>
      </c>
      <c r="G4" s="81">
        <v>8.0000000000000004E-4</v>
      </c>
      <c r="H4" s="81">
        <v>7.1999999999999998E-3</v>
      </c>
    </row>
    <row r="5" spans="1:9" x14ac:dyDescent="0.25">
      <c r="A5" s="78"/>
      <c r="B5" s="82"/>
      <c r="F5" s="83"/>
      <c r="G5" s="83"/>
      <c r="H5" s="83"/>
    </row>
    <row r="6" spans="1:9" s="86" customFormat="1" ht="32.25" customHeight="1" thickBot="1" x14ac:dyDescent="0.3">
      <c r="A6" s="84" t="s">
        <v>153</v>
      </c>
      <c r="B6" s="85" t="s">
        <v>154</v>
      </c>
      <c r="C6" s="85" t="s">
        <v>155</v>
      </c>
      <c r="D6" s="85" t="s">
        <v>156</v>
      </c>
      <c r="E6" s="85" t="s">
        <v>157</v>
      </c>
      <c r="F6" s="85" t="s">
        <v>158</v>
      </c>
      <c r="G6" s="85" t="s">
        <v>159</v>
      </c>
      <c r="H6" s="85" t="s">
        <v>160</v>
      </c>
      <c r="I6" s="85" t="s">
        <v>161</v>
      </c>
    </row>
    <row r="7" spans="1:9" ht="15.75" thickBot="1" x14ac:dyDescent="0.3">
      <c r="A7" s="87" t="s">
        <v>162</v>
      </c>
    </row>
    <row r="8" spans="1:9" x14ac:dyDescent="0.25">
      <c r="A8" s="78" t="s">
        <v>163</v>
      </c>
      <c r="B8" s="16">
        <v>127</v>
      </c>
      <c r="C8" s="16">
        <f>B8*5</f>
        <v>635</v>
      </c>
      <c r="D8" s="88">
        <f>B4</f>
        <v>15.45</v>
      </c>
      <c r="E8" s="88">
        <f>C8*D8*52</f>
        <v>510159</v>
      </c>
      <c r="F8" s="88">
        <f>E8*$F$4</f>
        <v>39027.163500000002</v>
      </c>
      <c r="G8" s="88">
        <f>E8*$G$4</f>
        <v>408.12720000000002</v>
      </c>
      <c r="H8" s="88">
        <f>E8*$H$4</f>
        <v>3673.1448</v>
      </c>
      <c r="I8" s="88">
        <f>SUM(E8:H8)</f>
        <v>553267.43550000002</v>
      </c>
    </row>
    <row r="9" spans="1:9" x14ac:dyDescent="0.25">
      <c r="A9" s="78" t="s">
        <v>164</v>
      </c>
      <c r="C9" s="16">
        <v>16</v>
      </c>
      <c r="D9" s="88">
        <f>B4</f>
        <v>15.45</v>
      </c>
      <c r="E9" s="88">
        <f>C9*D9*52</f>
        <v>12854.4</v>
      </c>
      <c r="F9" s="88">
        <f>E9*$F$4</f>
        <v>983.36159999999995</v>
      </c>
      <c r="G9" s="88">
        <f>E9*$G$4</f>
        <v>10.283519999999999</v>
      </c>
      <c r="H9" s="88">
        <f>E9*$H$4</f>
        <v>92.55167999999999</v>
      </c>
      <c r="I9" s="88">
        <f>SUM(E9:H9)</f>
        <v>13940.596800000001</v>
      </c>
    </row>
    <row r="10" spans="1:9" x14ac:dyDescent="0.25">
      <c r="A10" s="78" t="s">
        <v>165</v>
      </c>
      <c r="C10" s="16">
        <v>16</v>
      </c>
      <c r="D10" s="88">
        <f>B4</f>
        <v>15.45</v>
      </c>
      <c r="E10" s="88">
        <f>C10*D10*52</f>
        <v>12854.4</v>
      </c>
      <c r="F10" s="88">
        <f>E10*$F$4</f>
        <v>983.36159999999995</v>
      </c>
      <c r="G10" s="88">
        <f>E10*$G$4</f>
        <v>10.283519999999999</v>
      </c>
      <c r="H10" s="88">
        <f>E10*$H$4</f>
        <v>92.55167999999999</v>
      </c>
      <c r="I10" s="88">
        <f>SUM(E10:H10)</f>
        <v>13940.596800000001</v>
      </c>
    </row>
    <row r="11" spans="1:9" x14ac:dyDescent="0.25">
      <c r="A11" s="78"/>
    </row>
    <row r="12" spans="1:9" x14ac:dyDescent="0.25">
      <c r="A12" s="89" t="s">
        <v>166</v>
      </c>
    </row>
    <row r="13" spans="1:9" x14ac:dyDescent="0.25">
      <c r="A13" s="78" t="s">
        <v>167</v>
      </c>
      <c r="C13" s="16">
        <v>336</v>
      </c>
      <c r="D13" s="88">
        <f>B4</f>
        <v>15.45</v>
      </c>
      <c r="E13" s="88">
        <f>C13*D13</f>
        <v>5191.2</v>
      </c>
      <c r="F13" s="88">
        <f>E13*$F$4</f>
        <v>397.1268</v>
      </c>
      <c r="G13" s="88">
        <f>E13*$G$4</f>
        <v>4.1529600000000002</v>
      </c>
      <c r="H13" s="88">
        <f>E13*$H$4</f>
        <v>37.376639999999995</v>
      </c>
      <c r="I13" s="88">
        <f>SUM(E13:H13)</f>
        <v>5629.8564000000006</v>
      </c>
    </row>
    <row r="14" spans="1:9" x14ac:dyDescent="0.25">
      <c r="A14" s="78"/>
    </row>
    <row r="15" spans="1:9" x14ac:dyDescent="0.25">
      <c r="A15" s="78" t="s">
        <v>168</v>
      </c>
      <c r="C15" s="16">
        <v>120</v>
      </c>
      <c r="D15" s="88">
        <f>B4</f>
        <v>15.45</v>
      </c>
      <c r="E15" s="88">
        <f>C15*D15</f>
        <v>1854</v>
      </c>
      <c r="F15" s="88">
        <f>E15*$F$4</f>
        <v>141.83099999999999</v>
      </c>
      <c r="G15" s="88">
        <f>E15*$G$4</f>
        <v>1.4832000000000001</v>
      </c>
      <c r="H15" s="88">
        <f>E15*$H$4</f>
        <v>13.348799999999999</v>
      </c>
      <c r="I15" s="88">
        <f>SUM(E15:H15)</f>
        <v>2010.6629999999998</v>
      </c>
    </row>
    <row r="16" spans="1:9" x14ac:dyDescent="0.25">
      <c r="A16" s="78"/>
      <c r="B16" s="90" t="s">
        <v>169</v>
      </c>
    </row>
    <row r="17" spans="1:9" x14ac:dyDescent="0.25">
      <c r="A17" s="78" t="s">
        <v>170</v>
      </c>
      <c r="B17" s="102">
        <v>12</v>
      </c>
      <c r="C17" s="16">
        <v>60</v>
      </c>
      <c r="D17" s="88">
        <f>B4</f>
        <v>15.45</v>
      </c>
      <c r="E17" s="88">
        <f>B17*C17*D17</f>
        <v>11124</v>
      </c>
      <c r="F17" s="88">
        <f t="shared" ref="F17:F21" si="1">E17*$F$4</f>
        <v>850.98599999999999</v>
      </c>
      <c r="G17" s="88">
        <f t="shared" ref="G17:G21" si="2">E17*$G$4</f>
        <v>8.8992000000000004</v>
      </c>
      <c r="H17" s="88">
        <f t="shared" ref="H17:H21" si="3">E17*$H$4</f>
        <v>80.092799999999997</v>
      </c>
      <c r="I17" s="88">
        <f t="shared" ref="I17:I21" si="4">SUM(E17:H17)</f>
        <v>12063.978000000001</v>
      </c>
    </row>
    <row r="18" spans="1:9" x14ac:dyDescent="0.25">
      <c r="A18" s="78" t="s">
        <v>171</v>
      </c>
      <c r="B18" s="102">
        <v>12</v>
      </c>
      <c r="C18" s="16">
        <v>40</v>
      </c>
      <c r="D18" s="88">
        <f>B4</f>
        <v>15.45</v>
      </c>
      <c r="E18" s="88">
        <f t="shared" ref="E18:E21" si="5">B18*C18*D18</f>
        <v>7416</v>
      </c>
      <c r="F18" s="88">
        <f t="shared" si="1"/>
        <v>567.32399999999996</v>
      </c>
      <c r="G18" s="88">
        <f t="shared" si="2"/>
        <v>5.9328000000000003</v>
      </c>
      <c r="H18" s="88">
        <f t="shared" si="3"/>
        <v>53.395199999999996</v>
      </c>
      <c r="I18" s="88">
        <f t="shared" si="4"/>
        <v>8042.6519999999991</v>
      </c>
    </row>
    <row r="19" spans="1:9" x14ac:dyDescent="0.25">
      <c r="A19" s="78" t="s">
        <v>172</v>
      </c>
      <c r="B19" s="92">
        <v>1</v>
      </c>
      <c r="C19" s="16">
        <v>80</v>
      </c>
      <c r="D19" s="88">
        <f>B4</f>
        <v>15.45</v>
      </c>
      <c r="E19" s="88">
        <f t="shared" si="5"/>
        <v>1236</v>
      </c>
      <c r="F19" s="88">
        <f t="shared" si="1"/>
        <v>94.554000000000002</v>
      </c>
      <c r="G19" s="88">
        <f t="shared" si="2"/>
        <v>0.98880000000000001</v>
      </c>
      <c r="H19" s="88">
        <f t="shared" si="3"/>
        <v>8.8992000000000004</v>
      </c>
      <c r="I19" s="88">
        <f t="shared" si="4"/>
        <v>1340.4420000000002</v>
      </c>
    </row>
    <row r="20" spans="1:9" x14ac:dyDescent="0.25">
      <c r="A20" s="78" t="s">
        <v>173</v>
      </c>
      <c r="B20" s="92">
        <v>2</v>
      </c>
      <c r="C20" s="16">
        <v>60</v>
      </c>
      <c r="D20" s="88">
        <f>B4</f>
        <v>15.45</v>
      </c>
      <c r="E20" s="88">
        <f t="shared" si="5"/>
        <v>1854</v>
      </c>
      <c r="F20" s="88">
        <f t="shared" si="1"/>
        <v>141.83099999999999</v>
      </c>
      <c r="G20" s="88">
        <f t="shared" si="2"/>
        <v>1.4832000000000001</v>
      </c>
      <c r="H20" s="88">
        <f t="shared" si="3"/>
        <v>13.348799999999999</v>
      </c>
      <c r="I20" s="88">
        <f t="shared" si="4"/>
        <v>2010.6629999999998</v>
      </c>
    </row>
    <row r="21" spans="1:9" x14ac:dyDescent="0.25">
      <c r="A21" s="78" t="s">
        <v>174</v>
      </c>
      <c r="B21" s="91"/>
      <c r="C21" s="16">
        <v>40</v>
      </c>
      <c r="D21" s="88">
        <f>B4</f>
        <v>15.45</v>
      </c>
      <c r="E21" s="88">
        <f t="shared" si="5"/>
        <v>0</v>
      </c>
      <c r="F21" s="88">
        <f t="shared" si="1"/>
        <v>0</v>
      </c>
      <c r="G21" s="88">
        <f t="shared" si="2"/>
        <v>0</v>
      </c>
      <c r="H21" s="88">
        <f t="shared" si="3"/>
        <v>0</v>
      </c>
      <c r="I21" s="88">
        <f t="shared" si="4"/>
        <v>0</v>
      </c>
    </row>
    <row r="22" spans="1:9" x14ac:dyDescent="0.25">
      <c r="A22" s="78"/>
    </row>
    <row r="23" spans="1:9" x14ac:dyDescent="0.25">
      <c r="A23" s="78"/>
    </row>
    <row r="24" spans="1:9" ht="15.75" thickBot="1" x14ac:dyDescent="0.3">
      <c r="A24" s="93" t="s">
        <v>162</v>
      </c>
      <c r="E24" s="94">
        <f>SUM(E8:E22)</f>
        <v>564543</v>
      </c>
      <c r="F24" s="94">
        <f>SUM(F8:F22)</f>
        <v>43187.539499999984</v>
      </c>
      <c r="G24" s="94">
        <f>SUM(G8:G22)</f>
        <v>451.63440000000008</v>
      </c>
      <c r="H24" s="94">
        <f>SUM(H8:H22)</f>
        <v>4064.7096000000001</v>
      </c>
      <c r="I24" s="94">
        <f>SUM(I8:I22)</f>
        <v>612246.88350000011</v>
      </c>
    </row>
    <row r="25" spans="1:9" ht="15.75" thickTop="1" x14ac:dyDescent="0.25">
      <c r="A25" s="78"/>
    </row>
    <row r="26" spans="1:9" x14ac:dyDescent="0.25">
      <c r="A26" s="95" t="s">
        <v>175</v>
      </c>
    </row>
    <row r="27" spans="1:9" x14ac:dyDescent="0.25">
      <c r="A27" s="16" t="s">
        <v>176</v>
      </c>
      <c r="C27" s="16">
        <v>80</v>
      </c>
      <c r="D27" s="96">
        <f>B4</f>
        <v>15.45</v>
      </c>
      <c r="E27" s="69">
        <f>D27*C27*52</f>
        <v>64272</v>
      </c>
      <c r="F27" s="88">
        <f t="shared" ref="F27:F28" si="6">E27*$F$4</f>
        <v>4916.808</v>
      </c>
      <c r="G27" s="88">
        <f t="shared" ref="G27:G28" si="7">E27*$G$4</f>
        <v>51.4176</v>
      </c>
      <c r="H27" s="88">
        <f t="shared" ref="H27:H28" si="8">E27*$H$4</f>
        <v>462.75839999999999</v>
      </c>
      <c r="I27" s="88">
        <f t="shared" ref="I27:I28" si="9">SUM(E27:H27)</f>
        <v>69702.984000000011</v>
      </c>
    </row>
    <row r="28" spans="1:9" x14ac:dyDescent="0.25">
      <c r="A28" s="78" t="s">
        <v>177</v>
      </c>
      <c r="B28" s="16">
        <v>16.12</v>
      </c>
      <c r="C28" s="16">
        <v>32</v>
      </c>
      <c r="D28" s="96">
        <f>B28*1.03</f>
        <v>16.6036</v>
      </c>
      <c r="E28" s="69">
        <f>D28*C28*52</f>
        <v>27628.3904</v>
      </c>
      <c r="F28" s="88">
        <f t="shared" si="6"/>
        <v>2113.5718655999999</v>
      </c>
      <c r="G28" s="88">
        <f t="shared" si="7"/>
        <v>22.102712320000002</v>
      </c>
      <c r="H28" s="88">
        <f t="shared" si="8"/>
        <v>198.92441087999998</v>
      </c>
      <c r="I28" s="88">
        <f t="shared" si="9"/>
        <v>29962.989388800001</v>
      </c>
    </row>
    <row r="30" spans="1:9" ht="15.75" thickBot="1" x14ac:dyDescent="0.3">
      <c r="A30" s="95" t="s">
        <v>175</v>
      </c>
      <c r="E30" s="94">
        <f>SUM(E27:E29)</f>
        <v>91900.390400000004</v>
      </c>
      <c r="F30" s="94">
        <f>SUM(F27:F29)</f>
        <v>7030.3798655999999</v>
      </c>
      <c r="G30" s="94">
        <f t="shared" ref="G30:I30" si="10">SUM(G27:G29)</f>
        <v>73.520312320000002</v>
      </c>
      <c r="H30" s="94">
        <f t="shared" si="10"/>
        <v>661.68281088000003</v>
      </c>
      <c r="I30" s="94">
        <f t="shared" si="10"/>
        <v>99665.973388800019</v>
      </c>
    </row>
    <row r="31" spans="1:9" ht="15.75" thickTop="1" x14ac:dyDescent="0.25"/>
    <row r="32" spans="1:9" x14ac:dyDescent="0.25">
      <c r="A32" s="97" t="s">
        <v>178</v>
      </c>
      <c r="B32" s="98" t="s">
        <v>111</v>
      </c>
      <c r="C32" s="98" t="s">
        <v>112</v>
      </c>
    </row>
    <row r="33" spans="1:9" x14ac:dyDescent="0.25">
      <c r="A33" s="16" t="s">
        <v>179</v>
      </c>
      <c r="B33" s="96">
        <v>66000</v>
      </c>
      <c r="C33" s="96">
        <v>66000</v>
      </c>
      <c r="D33" s="69" t="s">
        <v>180</v>
      </c>
      <c r="E33" s="69">
        <v>66000</v>
      </c>
      <c r="F33" s="88">
        <f t="shared" ref="F33:F34" si="11">E33*$F$4</f>
        <v>5049</v>
      </c>
      <c r="G33" s="88">
        <f t="shared" ref="G33:G34" si="12">E33*$G$4</f>
        <v>52.800000000000004</v>
      </c>
      <c r="H33" s="88">
        <f t="shared" ref="H33:H34" si="13">E33*$H$4</f>
        <v>475.2</v>
      </c>
      <c r="I33" s="88">
        <f t="shared" ref="I33:I34" si="14">SUM(E33:H33)</f>
        <v>71577</v>
      </c>
    </row>
    <row r="34" spans="1:9" x14ac:dyDescent="0.25">
      <c r="A34" s="16" t="s">
        <v>181</v>
      </c>
      <c r="B34" s="96">
        <v>46000</v>
      </c>
      <c r="C34" s="69">
        <f>B34*1.05</f>
        <v>48300</v>
      </c>
      <c r="D34" s="99">
        <v>0.05</v>
      </c>
      <c r="E34" s="69">
        <f>C34</f>
        <v>48300</v>
      </c>
      <c r="F34" s="88">
        <f t="shared" si="11"/>
        <v>3694.95</v>
      </c>
      <c r="G34" s="88">
        <f t="shared" si="12"/>
        <v>38.64</v>
      </c>
      <c r="H34" s="88">
        <f t="shared" si="13"/>
        <v>347.76</v>
      </c>
      <c r="I34" s="88">
        <f t="shared" si="14"/>
        <v>52381.35</v>
      </c>
    </row>
    <row r="35" spans="1:9" x14ac:dyDescent="0.25">
      <c r="C35" s="96">
        <f>46000*1.03</f>
        <v>47380</v>
      </c>
      <c r="D35" s="99">
        <v>0.03</v>
      </c>
    </row>
    <row r="36" spans="1:9" ht="15.75" thickBot="1" x14ac:dyDescent="0.3">
      <c r="A36" s="97" t="s">
        <v>182</v>
      </c>
      <c r="E36" s="94">
        <f>SUM(E33:E35)</f>
        <v>114300</v>
      </c>
      <c r="F36" s="94">
        <f t="shared" ref="F36:I36" si="15">SUM(F33:F35)</f>
        <v>8743.9500000000007</v>
      </c>
      <c r="G36" s="94">
        <f t="shared" si="15"/>
        <v>91.44</v>
      </c>
      <c r="H36" s="94">
        <f t="shared" si="15"/>
        <v>822.96</v>
      </c>
      <c r="I36" s="94">
        <f t="shared" si="15"/>
        <v>123958.35</v>
      </c>
    </row>
    <row r="37" spans="1:9" ht="15.75" thickTop="1" x14ac:dyDescent="0.25"/>
    <row r="39" spans="1:9" ht="15.75" thickBot="1" x14ac:dyDescent="0.3">
      <c r="A39" s="100" t="s">
        <v>126</v>
      </c>
      <c r="B39" s="100"/>
      <c r="C39" s="100"/>
      <c r="D39" s="139">
        <v>0.03</v>
      </c>
      <c r="E39" s="101">
        <f>E24+E30+E36</f>
        <v>770743.39040000003</v>
      </c>
      <c r="F39" s="101">
        <f t="shared" ref="F39:I39" si="16">F24+F30+F36</f>
        <v>58961.869365599981</v>
      </c>
      <c r="G39" s="101">
        <f t="shared" si="16"/>
        <v>616.5947123200001</v>
      </c>
      <c r="H39" s="101">
        <f t="shared" si="16"/>
        <v>5549.3524108800002</v>
      </c>
      <c r="I39" s="101">
        <f t="shared" si="16"/>
        <v>835871.20688880014</v>
      </c>
    </row>
    <row r="40" spans="1:9" ht="15.75" thickTop="1" x14ac:dyDescent="0.25">
      <c r="F40" s="88">
        <f>E39-E41</f>
        <v>7753.2368000000715</v>
      </c>
      <c r="G40" s="16" t="s">
        <v>207</v>
      </c>
    </row>
    <row r="41" spans="1:9" x14ac:dyDescent="0.25">
      <c r="D41" s="99">
        <v>0.02</v>
      </c>
      <c r="E41" s="88">
        <f>'Salary 2021 2%'!E39</f>
        <v>762990.15359999996</v>
      </c>
    </row>
    <row r="42" spans="1:9" x14ac:dyDescent="0.25">
      <c r="F42" s="88">
        <f>E41-E43</f>
        <v>12746.473600000027</v>
      </c>
      <c r="G42" s="16" t="s">
        <v>208</v>
      </c>
    </row>
    <row r="43" spans="1:9" x14ac:dyDescent="0.25">
      <c r="D43" s="99">
        <v>0</v>
      </c>
      <c r="E43" s="88">
        <f>'Salary 2021 0%'!E39</f>
        <v>750243.67999999993</v>
      </c>
    </row>
    <row r="44" spans="1:9" x14ac:dyDescent="0.25">
      <c r="F44" s="88">
        <f>E39-E43</f>
        <v>20499.710400000098</v>
      </c>
      <c r="G44" s="16" t="s">
        <v>209</v>
      </c>
    </row>
  </sheetData>
  <pageMargins left="0.7" right="0.7" top="0.75" bottom="0.75" header="0.3" footer="0.3"/>
  <pageSetup scale="75" orientation="landscape" r:id="rId1"/>
  <headerFooter>
    <oddHeader>&amp;C&amp;"-,Bold"&amp;22 2021 NOTA SALARY - 3% Model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162D9-850E-42AA-8614-B26A3FE7B5FD}">
  <sheetPr>
    <pageSetUpPr fitToPage="1"/>
  </sheetPr>
  <dimension ref="A4:M81"/>
  <sheetViews>
    <sheetView view="pageLayout" topLeftCell="A44" zoomScaleNormal="100" workbookViewId="0">
      <selection activeCell="F53" sqref="F53"/>
    </sheetView>
  </sheetViews>
  <sheetFormatPr defaultRowHeight="12.75" x14ac:dyDescent="0.2"/>
  <cols>
    <col min="1" max="1" width="27.28515625" style="21" customWidth="1"/>
    <col min="2" max="2" width="17.140625" style="21" customWidth="1"/>
    <col min="3" max="3" width="17.5703125" style="21" customWidth="1"/>
    <col min="4" max="4" width="17.140625" style="21" customWidth="1"/>
    <col min="5" max="5" width="17.7109375" style="21" customWidth="1"/>
    <col min="6" max="7" width="15.85546875" style="21" customWidth="1"/>
    <col min="8" max="8" width="17.140625" style="21" customWidth="1"/>
    <col min="9" max="9" width="14.85546875" style="21" customWidth="1"/>
    <col min="10" max="10" width="12.28515625" style="21" customWidth="1"/>
    <col min="11" max="11" width="12.140625" style="21" customWidth="1"/>
    <col min="12" max="12" width="11.85546875" style="21" customWidth="1"/>
    <col min="13" max="13" width="13.140625" style="21" customWidth="1"/>
    <col min="14" max="255" width="9.140625" style="21"/>
    <col min="256" max="256" width="29.28515625" style="21" customWidth="1"/>
    <col min="257" max="258" width="14" style="21" customWidth="1"/>
    <col min="259" max="259" width="14.140625" style="21" customWidth="1"/>
    <col min="260" max="260" width="15.5703125" style="21" customWidth="1"/>
    <col min="261" max="261" width="14" style="21" customWidth="1"/>
    <col min="262" max="262" width="15.85546875" style="21" customWidth="1"/>
    <col min="263" max="263" width="17.140625" style="21" customWidth="1"/>
    <col min="264" max="511" width="9.140625" style="21"/>
    <col min="512" max="512" width="29.28515625" style="21" customWidth="1"/>
    <col min="513" max="514" width="14" style="21" customWidth="1"/>
    <col min="515" max="515" width="14.140625" style="21" customWidth="1"/>
    <col min="516" max="516" width="15.5703125" style="21" customWidth="1"/>
    <col min="517" max="517" width="14" style="21" customWidth="1"/>
    <col min="518" max="518" width="15.85546875" style="21" customWidth="1"/>
    <col min="519" max="519" width="17.140625" style="21" customWidth="1"/>
    <col min="520" max="767" width="9.140625" style="21"/>
    <col min="768" max="768" width="29.28515625" style="21" customWidth="1"/>
    <col min="769" max="770" width="14" style="21" customWidth="1"/>
    <col min="771" max="771" width="14.140625" style="21" customWidth="1"/>
    <col min="772" max="772" width="15.5703125" style="21" customWidth="1"/>
    <col min="773" max="773" width="14" style="21" customWidth="1"/>
    <col min="774" max="774" width="15.85546875" style="21" customWidth="1"/>
    <col min="775" max="775" width="17.140625" style="21" customWidth="1"/>
    <col min="776" max="1023" width="9.140625" style="21"/>
    <col min="1024" max="1024" width="29.28515625" style="21" customWidth="1"/>
    <col min="1025" max="1026" width="14" style="21" customWidth="1"/>
    <col min="1027" max="1027" width="14.140625" style="21" customWidth="1"/>
    <col min="1028" max="1028" width="15.5703125" style="21" customWidth="1"/>
    <col min="1029" max="1029" width="14" style="21" customWidth="1"/>
    <col min="1030" max="1030" width="15.85546875" style="21" customWidth="1"/>
    <col min="1031" max="1031" width="17.140625" style="21" customWidth="1"/>
    <col min="1032" max="1279" width="9.140625" style="21"/>
    <col min="1280" max="1280" width="29.28515625" style="21" customWidth="1"/>
    <col min="1281" max="1282" width="14" style="21" customWidth="1"/>
    <col min="1283" max="1283" width="14.140625" style="21" customWidth="1"/>
    <col min="1284" max="1284" width="15.5703125" style="21" customWidth="1"/>
    <col min="1285" max="1285" width="14" style="21" customWidth="1"/>
    <col min="1286" max="1286" width="15.85546875" style="21" customWidth="1"/>
    <col min="1287" max="1287" width="17.140625" style="21" customWidth="1"/>
    <col min="1288" max="1535" width="9.140625" style="21"/>
    <col min="1536" max="1536" width="29.28515625" style="21" customWidth="1"/>
    <col min="1537" max="1538" width="14" style="21" customWidth="1"/>
    <col min="1539" max="1539" width="14.140625" style="21" customWidth="1"/>
    <col min="1540" max="1540" width="15.5703125" style="21" customWidth="1"/>
    <col min="1541" max="1541" width="14" style="21" customWidth="1"/>
    <col min="1542" max="1542" width="15.85546875" style="21" customWidth="1"/>
    <col min="1543" max="1543" width="17.140625" style="21" customWidth="1"/>
    <col min="1544" max="1791" width="9.140625" style="21"/>
    <col min="1792" max="1792" width="29.28515625" style="21" customWidth="1"/>
    <col min="1793" max="1794" width="14" style="21" customWidth="1"/>
    <col min="1795" max="1795" width="14.140625" style="21" customWidth="1"/>
    <col min="1796" max="1796" width="15.5703125" style="21" customWidth="1"/>
    <col min="1797" max="1797" width="14" style="21" customWidth="1"/>
    <col min="1798" max="1798" width="15.85546875" style="21" customWidth="1"/>
    <col min="1799" max="1799" width="17.140625" style="21" customWidth="1"/>
    <col min="1800" max="2047" width="9.140625" style="21"/>
    <col min="2048" max="2048" width="29.28515625" style="21" customWidth="1"/>
    <col min="2049" max="2050" width="14" style="21" customWidth="1"/>
    <col min="2051" max="2051" width="14.140625" style="21" customWidth="1"/>
    <col min="2052" max="2052" width="15.5703125" style="21" customWidth="1"/>
    <col min="2053" max="2053" width="14" style="21" customWidth="1"/>
    <col min="2054" max="2054" width="15.85546875" style="21" customWidth="1"/>
    <col min="2055" max="2055" width="17.140625" style="21" customWidth="1"/>
    <col min="2056" max="2303" width="9.140625" style="21"/>
    <col min="2304" max="2304" width="29.28515625" style="21" customWidth="1"/>
    <col min="2305" max="2306" width="14" style="21" customWidth="1"/>
    <col min="2307" max="2307" width="14.140625" style="21" customWidth="1"/>
    <col min="2308" max="2308" width="15.5703125" style="21" customWidth="1"/>
    <col min="2309" max="2309" width="14" style="21" customWidth="1"/>
    <col min="2310" max="2310" width="15.85546875" style="21" customWidth="1"/>
    <col min="2311" max="2311" width="17.140625" style="21" customWidth="1"/>
    <col min="2312" max="2559" width="9.140625" style="21"/>
    <col min="2560" max="2560" width="29.28515625" style="21" customWidth="1"/>
    <col min="2561" max="2562" width="14" style="21" customWidth="1"/>
    <col min="2563" max="2563" width="14.140625" style="21" customWidth="1"/>
    <col min="2564" max="2564" width="15.5703125" style="21" customWidth="1"/>
    <col min="2565" max="2565" width="14" style="21" customWidth="1"/>
    <col min="2566" max="2566" width="15.85546875" style="21" customWidth="1"/>
    <col min="2567" max="2567" width="17.140625" style="21" customWidth="1"/>
    <col min="2568" max="2815" width="9.140625" style="21"/>
    <col min="2816" max="2816" width="29.28515625" style="21" customWidth="1"/>
    <col min="2817" max="2818" width="14" style="21" customWidth="1"/>
    <col min="2819" max="2819" width="14.140625" style="21" customWidth="1"/>
    <col min="2820" max="2820" width="15.5703125" style="21" customWidth="1"/>
    <col min="2821" max="2821" width="14" style="21" customWidth="1"/>
    <col min="2822" max="2822" width="15.85546875" style="21" customWidth="1"/>
    <col min="2823" max="2823" width="17.140625" style="21" customWidth="1"/>
    <col min="2824" max="3071" width="9.140625" style="21"/>
    <col min="3072" max="3072" width="29.28515625" style="21" customWidth="1"/>
    <col min="3073" max="3074" width="14" style="21" customWidth="1"/>
    <col min="3075" max="3075" width="14.140625" style="21" customWidth="1"/>
    <col min="3076" max="3076" width="15.5703125" style="21" customWidth="1"/>
    <col min="3077" max="3077" width="14" style="21" customWidth="1"/>
    <col min="3078" max="3078" width="15.85546875" style="21" customWidth="1"/>
    <col min="3079" max="3079" width="17.140625" style="21" customWidth="1"/>
    <col min="3080" max="3327" width="9.140625" style="21"/>
    <col min="3328" max="3328" width="29.28515625" style="21" customWidth="1"/>
    <col min="3329" max="3330" width="14" style="21" customWidth="1"/>
    <col min="3331" max="3331" width="14.140625" style="21" customWidth="1"/>
    <col min="3332" max="3332" width="15.5703125" style="21" customWidth="1"/>
    <col min="3333" max="3333" width="14" style="21" customWidth="1"/>
    <col min="3334" max="3334" width="15.85546875" style="21" customWidth="1"/>
    <col min="3335" max="3335" width="17.140625" style="21" customWidth="1"/>
    <col min="3336" max="3583" width="9.140625" style="21"/>
    <col min="3584" max="3584" width="29.28515625" style="21" customWidth="1"/>
    <col min="3585" max="3586" width="14" style="21" customWidth="1"/>
    <col min="3587" max="3587" width="14.140625" style="21" customWidth="1"/>
    <col min="3588" max="3588" width="15.5703125" style="21" customWidth="1"/>
    <col min="3589" max="3589" width="14" style="21" customWidth="1"/>
    <col min="3590" max="3590" width="15.85546875" style="21" customWidth="1"/>
    <col min="3591" max="3591" width="17.140625" style="21" customWidth="1"/>
    <col min="3592" max="3839" width="9.140625" style="21"/>
    <col min="3840" max="3840" width="29.28515625" style="21" customWidth="1"/>
    <col min="3841" max="3842" width="14" style="21" customWidth="1"/>
    <col min="3843" max="3843" width="14.140625" style="21" customWidth="1"/>
    <col min="3844" max="3844" width="15.5703125" style="21" customWidth="1"/>
    <col min="3845" max="3845" width="14" style="21" customWidth="1"/>
    <col min="3846" max="3846" width="15.85546875" style="21" customWidth="1"/>
    <col min="3847" max="3847" width="17.140625" style="21" customWidth="1"/>
    <col min="3848" max="4095" width="9.140625" style="21"/>
    <col min="4096" max="4096" width="29.28515625" style="21" customWidth="1"/>
    <col min="4097" max="4098" width="14" style="21" customWidth="1"/>
    <col min="4099" max="4099" width="14.140625" style="21" customWidth="1"/>
    <col min="4100" max="4100" width="15.5703125" style="21" customWidth="1"/>
    <col min="4101" max="4101" width="14" style="21" customWidth="1"/>
    <col min="4102" max="4102" width="15.85546875" style="21" customWidth="1"/>
    <col min="4103" max="4103" width="17.140625" style="21" customWidth="1"/>
    <col min="4104" max="4351" width="9.140625" style="21"/>
    <col min="4352" max="4352" width="29.28515625" style="21" customWidth="1"/>
    <col min="4353" max="4354" width="14" style="21" customWidth="1"/>
    <col min="4355" max="4355" width="14.140625" style="21" customWidth="1"/>
    <col min="4356" max="4356" width="15.5703125" style="21" customWidth="1"/>
    <col min="4357" max="4357" width="14" style="21" customWidth="1"/>
    <col min="4358" max="4358" width="15.85546875" style="21" customWidth="1"/>
    <col min="4359" max="4359" width="17.140625" style="21" customWidth="1"/>
    <col min="4360" max="4607" width="9.140625" style="21"/>
    <col min="4608" max="4608" width="29.28515625" style="21" customWidth="1"/>
    <col min="4609" max="4610" width="14" style="21" customWidth="1"/>
    <col min="4611" max="4611" width="14.140625" style="21" customWidth="1"/>
    <col min="4612" max="4612" width="15.5703125" style="21" customWidth="1"/>
    <col min="4613" max="4613" width="14" style="21" customWidth="1"/>
    <col min="4614" max="4614" width="15.85546875" style="21" customWidth="1"/>
    <col min="4615" max="4615" width="17.140625" style="21" customWidth="1"/>
    <col min="4616" max="4863" width="9.140625" style="21"/>
    <col min="4864" max="4864" width="29.28515625" style="21" customWidth="1"/>
    <col min="4865" max="4866" width="14" style="21" customWidth="1"/>
    <col min="4867" max="4867" width="14.140625" style="21" customWidth="1"/>
    <col min="4868" max="4868" width="15.5703125" style="21" customWidth="1"/>
    <col min="4869" max="4869" width="14" style="21" customWidth="1"/>
    <col min="4870" max="4870" width="15.85546875" style="21" customWidth="1"/>
    <col min="4871" max="4871" width="17.140625" style="21" customWidth="1"/>
    <col min="4872" max="5119" width="9.140625" style="21"/>
    <col min="5120" max="5120" width="29.28515625" style="21" customWidth="1"/>
    <col min="5121" max="5122" width="14" style="21" customWidth="1"/>
    <col min="5123" max="5123" width="14.140625" style="21" customWidth="1"/>
    <col min="5124" max="5124" width="15.5703125" style="21" customWidth="1"/>
    <col min="5125" max="5125" width="14" style="21" customWidth="1"/>
    <col min="5126" max="5126" width="15.85546875" style="21" customWidth="1"/>
    <col min="5127" max="5127" width="17.140625" style="21" customWidth="1"/>
    <col min="5128" max="5375" width="9.140625" style="21"/>
    <col min="5376" max="5376" width="29.28515625" style="21" customWidth="1"/>
    <col min="5377" max="5378" width="14" style="21" customWidth="1"/>
    <col min="5379" max="5379" width="14.140625" style="21" customWidth="1"/>
    <col min="5380" max="5380" width="15.5703125" style="21" customWidth="1"/>
    <col min="5381" max="5381" width="14" style="21" customWidth="1"/>
    <col min="5382" max="5382" width="15.85546875" style="21" customWidth="1"/>
    <col min="5383" max="5383" width="17.140625" style="21" customWidth="1"/>
    <col min="5384" max="5631" width="9.140625" style="21"/>
    <col min="5632" max="5632" width="29.28515625" style="21" customWidth="1"/>
    <col min="5633" max="5634" width="14" style="21" customWidth="1"/>
    <col min="5635" max="5635" width="14.140625" style="21" customWidth="1"/>
    <col min="5636" max="5636" width="15.5703125" style="21" customWidth="1"/>
    <col min="5637" max="5637" width="14" style="21" customWidth="1"/>
    <col min="5638" max="5638" width="15.85546875" style="21" customWidth="1"/>
    <col min="5639" max="5639" width="17.140625" style="21" customWidth="1"/>
    <col min="5640" max="5887" width="9.140625" style="21"/>
    <col min="5888" max="5888" width="29.28515625" style="21" customWidth="1"/>
    <col min="5889" max="5890" width="14" style="21" customWidth="1"/>
    <col min="5891" max="5891" width="14.140625" style="21" customWidth="1"/>
    <col min="5892" max="5892" width="15.5703125" style="21" customWidth="1"/>
    <col min="5893" max="5893" width="14" style="21" customWidth="1"/>
    <col min="5894" max="5894" width="15.85546875" style="21" customWidth="1"/>
    <col min="5895" max="5895" width="17.140625" style="21" customWidth="1"/>
    <col min="5896" max="6143" width="9.140625" style="21"/>
    <col min="6144" max="6144" width="29.28515625" style="21" customWidth="1"/>
    <col min="6145" max="6146" width="14" style="21" customWidth="1"/>
    <col min="6147" max="6147" width="14.140625" style="21" customWidth="1"/>
    <col min="6148" max="6148" width="15.5703125" style="21" customWidth="1"/>
    <col min="6149" max="6149" width="14" style="21" customWidth="1"/>
    <col min="6150" max="6150" width="15.85546875" style="21" customWidth="1"/>
    <col min="6151" max="6151" width="17.140625" style="21" customWidth="1"/>
    <col min="6152" max="6399" width="9.140625" style="21"/>
    <col min="6400" max="6400" width="29.28515625" style="21" customWidth="1"/>
    <col min="6401" max="6402" width="14" style="21" customWidth="1"/>
    <col min="6403" max="6403" width="14.140625" style="21" customWidth="1"/>
    <col min="6404" max="6404" width="15.5703125" style="21" customWidth="1"/>
    <col min="6405" max="6405" width="14" style="21" customWidth="1"/>
    <col min="6406" max="6406" width="15.85546875" style="21" customWidth="1"/>
    <col min="6407" max="6407" width="17.140625" style="21" customWidth="1"/>
    <col min="6408" max="6655" width="9.140625" style="21"/>
    <col min="6656" max="6656" width="29.28515625" style="21" customWidth="1"/>
    <col min="6657" max="6658" width="14" style="21" customWidth="1"/>
    <col min="6659" max="6659" width="14.140625" style="21" customWidth="1"/>
    <col min="6660" max="6660" width="15.5703125" style="21" customWidth="1"/>
    <col min="6661" max="6661" width="14" style="21" customWidth="1"/>
    <col min="6662" max="6662" width="15.85546875" style="21" customWidth="1"/>
    <col min="6663" max="6663" width="17.140625" style="21" customWidth="1"/>
    <col min="6664" max="6911" width="9.140625" style="21"/>
    <col min="6912" max="6912" width="29.28515625" style="21" customWidth="1"/>
    <col min="6913" max="6914" width="14" style="21" customWidth="1"/>
    <col min="6915" max="6915" width="14.140625" style="21" customWidth="1"/>
    <col min="6916" max="6916" width="15.5703125" style="21" customWidth="1"/>
    <col min="6917" max="6917" width="14" style="21" customWidth="1"/>
    <col min="6918" max="6918" width="15.85546875" style="21" customWidth="1"/>
    <col min="6919" max="6919" width="17.140625" style="21" customWidth="1"/>
    <col min="6920" max="7167" width="9.140625" style="21"/>
    <col min="7168" max="7168" width="29.28515625" style="21" customWidth="1"/>
    <col min="7169" max="7170" width="14" style="21" customWidth="1"/>
    <col min="7171" max="7171" width="14.140625" style="21" customWidth="1"/>
    <col min="7172" max="7172" width="15.5703125" style="21" customWidth="1"/>
    <col min="7173" max="7173" width="14" style="21" customWidth="1"/>
    <col min="7174" max="7174" width="15.85546875" style="21" customWidth="1"/>
    <col min="7175" max="7175" width="17.140625" style="21" customWidth="1"/>
    <col min="7176" max="7423" width="9.140625" style="21"/>
    <col min="7424" max="7424" width="29.28515625" style="21" customWidth="1"/>
    <col min="7425" max="7426" width="14" style="21" customWidth="1"/>
    <col min="7427" max="7427" width="14.140625" style="21" customWidth="1"/>
    <col min="7428" max="7428" width="15.5703125" style="21" customWidth="1"/>
    <col min="7429" max="7429" width="14" style="21" customWidth="1"/>
    <col min="7430" max="7430" width="15.85546875" style="21" customWidth="1"/>
    <col min="7431" max="7431" width="17.140625" style="21" customWidth="1"/>
    <col min="7432" max="7679" width="9.140625" style="21"/>
    <col min="7680" max="7680" width="29.28515625" style="21" customWidth="1"/>
    <col min="7681" max="7682" width="14" style="21" customWidth="1"/>
    <col min="7683" max="7683" width="14.140625" style="21" customWidth="1"/>
    <col min="7684" max="7684" width="15.5703125" style="21" customWidth="1"/>
    <col min="7685" max="7685" width="14" style="21" customWidth="1"/>
    <col min="7686" max="7686" width="15.85546875" style="21" customWidth="1"/>
    <col min="7687" max="7687" width="17.140625" style="21" customWidth="1"/>
    <col min="7688" max="7935" width="9.140625" style="21"/>
    <col min="7936" max="7936" width="29.28515625" style="21" customWidth="1"/>
    <col min="7937" max="7938" width="14" style="21" customWidth="1"/>
    <col min="7939" max="7939" width="14.140625" style="21" customWidth="1"/>
    <col min="7940" max="7940" width="15.5703125" style="21" customWidth="1"/>
    <col min="7941" max="7941" width="14" style="21" customWidth="1"/>
    <col min="7942" max="7942" width="15.85546875" style="21" customWidth="1"/>
    <col min="7943" max="7943" width="17.140625" style="21" customWidth="1"/>
    <col min="7944" max="8191" width="9.140625" style="21"/>
    <col min="8192" max="8192" width="29.28515625" style="21" customWidth="1"/>
    <col min="8193" max="8194" width="14" style="21" customWidth="1"/>
    <col min="8195" max="8195" width="14.140625" style="21" customWidth="1"/>
    <col min="8196" max="8196" width="15.5703125" style="21" customWidth="1"/>
    <col min="8197" max="8197" width="14" style="21" customWidth="1"/>
    <col min="8198" max="8198" width="15.85546875" style="21" customWidth="1"/>
    <col min="8199" max="8199" width="17.140625" style="21" customWidth="1"/>
    <col min="8200" max="8447" width="9.140625" style="21"/>
    <col min="8448" max="8448" width="29.28515625" style="21" customWidth="1"/>
    <col min="8449" max="8450" width="14" style="21" customWidth="1"/>
    <col min="8451" max="8451" width="14.140625" style="21" customWidth="1"/>
    <col min="8452" max="8452" width="15.5703125" style="21" customWidth="1"/>
    <col min="8453" max="8453" width="14" style="21" customWidth="1"/>
    <col min="8454" max="8454" width="15.85546875" style="21" customWidth="1"/>
    <col min="8455" max="8455" width="17.140625" style="21" customWidth="1"/>
    <col min="8456" max="8703" width="9.140625" style="21"/>
    <col min="8704" max="8704" width="29.28515625" style="21" customWidth="1"/>
    <col min="8705" max="8706" width="14" style="21" customWidth="1"/>
    <col min="8707" max="8707" width="14.140625" style="21" customWidth="1"/>
    <col min="8708" max="8708" width="15.5703125" style="21" customWidth="1"/>
    <col min="8709" max="8709" width="14" style="21" customWidth="1"/>
    <col min="8710" max="8710" width="15.85546875" style="21" customWidth="1"/>
    <col min="8711" max="8711" width="17.140625" style="21" customWidth="1"/>
    <col min="8712" max="8959" width="9.140625" style="21"/>
    <col min="8960" max="8960" width="29.28515625" style="21" customWidth="1"/>
    <col min="8961" max="8962" width="14" style="21" customWidth="1"/>
    <col min="8963" max="8963" width="14.140625" style="21" customWidth="1"/>
    <col min="8964" max="8964" width="15.5703125" style="21" customWidth="1"/>
    <col min="8965" max="8965" width="14" style="21" customWidth="1"/>
    <col min="8966" max="8966" width="15.85546875" style="21" customWidth="1"/>
    <col min="8967" max="8967" width="17.140625" style="21" customWidth="1"/>
    <col min="8968" max="9215" width="9.140625" style="21"/>
    <col min="9216" max="9216" width="29.28515625" style="21" customWidth="1"/>
    <col min="9217" max="9218" width="14" style="21" customWidth="1"/>
    <col min="9219" max="9219" width="14.140625" style="21" customWidth="1"/>
    <col min="9220" max="9220" width="15.5703125" style="21" customWidth="1"/>
    <col min="9221" max="9221" width="14" style="21" customWidth="1"/>
    <col min="9222" max="9222" width="15.85546875" style="21" customWidth="1"/>
    <col min="9223" max="9223" width="17.140625" style="21" customWidth="1"/>
    <col min="9224" max="9471" width="9.140625" style="21"/>
    <col min="9472" max="9472" width="29.28515625" style="21" customWidth="1"/>
    <col min="9473" max="9474" width="14" style="21" customWidth="1"/>
    <col min="9475" max="9475" width="14.140625" style="21" customWidth="1"/>
    <col min="9476" max="9476" width="15.5703125" style="21" customWidth="1"/>
    <col min="9477" max="9477" width="14" style="21" customWidth="1"/>
    <col min="9478" max="9478" width="15.85546875" style="21" customWidth="1"/>
    <col min="9479" max="9479" width="17.140625" style="21" customWidth="1"/>
    <col min="9480" max="9727" width="9.140625" style="21"/>
    <col min="9728" max="9728" width="29.28515625" style="21" customWidth="1"/>
    <col min="9729" max="9730" width="14" style="21" customWidth="1"/>
    <col min="9731" max="9731" width="14.140625" style="21" customWidth="1"/>
    <col min="9732" max="9732" width="15.5703125" style="21" customWidth="1"/>
    <col min="9733" max="9733" width="14" style="21" customWidth="1"/>
    <col min="9734" max="9734" width="15.85546875" style="21" customWidth="1"/>
    <col min="9735" max="9735" width="17.140625" style="21" customWidth="1"/>
    <col min="9736" max="9983" width="9.140625" style="21"/>
    <col min="9984" max="9984" width="29.28515625" style="21" customWidth="1"/>
    <col min="9985" max="9986" width="14" style="21" customWidth="1"/>
    <col min="9987" max="9987" width="14.140625" style="21" customWidth="1"/>
    <col min="9988" max="9988" width="15.5703125" style="21" customWidth="1"/>
    <col min="9989" max="9989" width="14" style="21" customWidth="1"/>
    <col min="9990" max="9990" width="15.85546875" style="21" customWidth="1"/>
    <col min="9991" max="9991" width="17.140625" style="21" customWidth="1"/>
    <col min="9992" max="10239" width="9.140625" style="21"/>
    <col min="10240" max="10240" width="29.28515625" style="21" customWidth="1"/>
    <col min="10241" max="10242" width="14" style="21" customWidth="1"/>
    <col min="10243" max="10243" width="14.140625" style="21" customWidth="1"/>
    <col min="10244" max="10244" width="15.5703125" style="21" customWidth="1"/>
    <col min="10245" max="10245" width="14" style="21" customWidth="1"/>
    <col min="10246" max="10246" width="15.85546875" style="21" customWidth="1"/>
    <col min="10247" max="10247" width="17.140625" style="21" customWidth="1"/>
    <col min="10248" max="10495" width="9.140625" style="21"/>
    <col min="10496" max="10496" width="29.28515625" style="21" customWidth="1"/>
    <col min="10497" max="10498" width="14" style="21" customWidth="1"/>
    <col min="10499" max="10499" width="14.140625" style="21" customWidth="1"/>
    <col min="10500" max="10500" width="15.5703125" style="21" customWidth="1"/>
    <col min="10501" max="10501" width="14" style="21" customWidth="1"/>
    <col min="10502" max="10502" width="15.85546875" style="21" customWidth="1"/>
    <col min="10503" max="10503" width="17.140625" style="21" customWidth="1"/>
    <col min="10504" max="10751" width="9.140625" style="21"/>
    <col min="10752" max="10752" width="29.28515625" style="21" customWidth="1"/>
    <col min="10753" max="10754" width="14" style="21" customWidth="1"/>
    <col min="10755" max="10755" width="14.140625" style="21" customWidth="1"/>
    <col min="10756" max="10756" width="15.5703125" style="21" customWidth="1"/>
    <col min="10757" max="10757" width="14" style="21" customWidth="1"/>
    <col min="10758" max="10758" width="15.85546875" style="21" customWidth="1"/>
    <col min="10759" max="10759" width="17.140625" style="21" customWidth="1"/>
    <col min="10760" max="11007" width="9.140625" style="21"/>
    <col min="11008" max="11008" width="29.28515625" style="21" customWidth="1"/>
    <col min="11009" max="11010" width="14" style="21" customWidth="1"/>
    <col min="11011" max="11011" width="14.140625" style="21" customWidth="1"/>
    <col min="11012" max="11012" width="15.5703125" style="21" customWidth="1"/>
    <col min="11013" max="11013" width="14" style="21" customWidth="1"/>
    <col min="11014" max="11014" width="15.85546875" style="21" customWidth="1"/>
    <col min="11015" max="11015" width="17.140625" style="21" customWidth="1"/>
    <col min="11016" max="11263" width="9.140625" style="21"/>
    <col min="11264" max="11264" width="29.28515625" style="21" customWidth="1"/>
    <col min="11265" max="11266" width="14" style="21" customWidth="1"/>
    <col min="11267" max="11267" width="14.140625" style="21" customWidth="1"/>
    <col min="11268" max="11268" width="15.5703125" style="21" customWidth="1"/>
    <col min="11269" max="11269" width="14" style="21" customWidth="1"/>
    <col min="11270" max="11270" width="15.85546875" style="21" customWidth="1"/>
    <col min="11271" max="11271" width="17.140625" style="21" customWidth="1"/>
    <col min="11272" max="11519" width="9.140625" style="21"/>
    <col min="11520" max="11520" width="29.28515625" style="21" customWidth="1"/>
    <col min="11521" max="11522" width="14" style="21" customWidth="1"/>
    <col min="11523" max="11523" width="14.140625" style="21" customWidth="1"/>
    <col min="11524" max="11524" width="15.5703125" style="21" customWidth="1"/>
    <col min="11525" max="11525" width="14" style="21" customWidth="1"/>
    <col min="11526" max="11526" width="15.85546875" style="21" customWidth="1"/>
    <col min="11527" max="11527" width="17.140625" style="21" customWidth="1"/>
    <col min="11528" max="11775" width="9.140625" style="21"/>
    <col min="11776" max="11776" width="29.28515625" style="21" customWidth="1"/>
    <col min="11777" max="11778" width="14" style="21" customWidth="1"/>
    <col min="11779" max="11779" width="14.140625" style="21" customWidth="1"/>
    <col min="11780" max="11780" width="15.5703125" style="21" customWidth="1"/>
    <col min="11781" max="11781" width="14" style="21" customWidth="1"/>
    <col min="11782" max="11782" width="15.85546875" style="21" customWidth="1"/>
    <col min="11783" max="11783" width="17.140625" style="21" customWidth="1"/>
    <col min="11784" max="12031" width="9.140625" style="21"/>
    <col min="12032" max="12032" width="29.28515625" style="21" customWidth="1"/>
    <col min="12033" max="12034" width="14" style="21" customWidth="1"/>
    <col min="12035" max="12035" width="14.140625" style="21" customWidth="1"/>
    <col min="12036" max="12036" width="15.5703125" style="21" customWidth="1"/>
    <col min="12037" max="12037" width="14" style="21" customWidth="1"/>
    <col min="12038" max="12038" width="15.85546875" style="21" customWidth="1"/>
    <col min="12039" max="12039" width="17.140625" style="21" customWidth="1"/>
    <col min="12040" max="12287" width="9.140625" style="21"/>
    <col min="12288" max="12288" width="29.28515625" style="21" customWidth="1"/>
    <col min="12289" max="12290" width="14" style="21" customWidth="1"/>
    <col min="12291" max="12291" width="14.140625" style="21" customWidth="1"/>
    <col min="12292" max="12292" width="15.5703125" style="21" customWidth="1"/>
    <col min="12293" max="12293" width="14" style="21" customWidth="1"/>
    <col min="12294" max="12294" width="15.85546875" style="21" customWidth="1"/>
    <col min="12295" max="12295" width="17.140625" style="21" customWidth="1"/>
    <col min="12296" max="12543" width="9.140625" style="21"/>
    <col min="12544" max="12544" width="29.28515625" style="21" customWidth="1"/>
    <col min="12545" max="12546" width="14" style="21" customWidth="1"/>
    <col min="12547" max="12547" width="14.140625" style="21" customWidth="1"/>
    <col min="12548" max="12548" width="15.5703125" style="21" customWidth="1"/>
    <col min="12549" max="12549" width="14" style="21" customWidth="1"/>
    <col min="12550" max="12550" width="15.85546875" style="21" customWidth="1"/>
    <col min="12551" max="12551" width="17.140625" style="21" customWidth="1"/>
    <col min="12552" max="12799" width="9.140625" style="21"/>
    <col min="12800" max="12800" width="29.28515625" style="21" customWidth="1"/>
    <col min="12801" max="12802" width="14" style="21" customWidth="1"/>
    <col min="12803" max="12803" width="14.140625" style="21" customWidth="1"/>
    <col min="12804" max="12804" width="15.5703125" style="21" customWidth="1"/>
    <col min="12805" max="12805" width="14" style="21" customWidth="1"/>
    <col min="12806" max="12806" width="15.85546875" style="21" customWidth="1"/>
    <col min="12807" max="12807" width="17.140625" style="21" customWidth="1"/>
    <col min="12808" max="13055" width="9.140625" style="21"/>
    <col min="13056" max="13056" width="29.28515625" style="21" customWidth="1"/>
    <col min="13057" max="13058" width="14" style="21" customWidth="1"/>
    <col min="13059" max="13059" width="14.140625" style="21" customWidth="1"/>
    <col min="13060" max="13060" width="15.5703125" style="21" customWidth="1"/>
    <col min="13061" max="13061" width="14" style="21" customWidth="1"/>
    <col min="13062" max="13062" width="15.85546875" style="21" customWidth="1"/>
    <col min="13063" max="13063" width="17.140625" style="21" customWidth="1"/>
    <col min="13064" max="13311" width="9.140625" style="21"/>
    <col min="13312" max="13312" width="29.28515625" style="21" customWidth="1"/>
    <col min="13313" max="13314" width="14" style="21" customWidth="1"/>
    <col min="13315" max="13315" width="14.140625" style="21" customWidth="1"/>
    <col min="13316" max="13316" width="15.5703125" style="21" customWidth="1"/>
    <col min="13317" max="13317" width="14" style="21" customWidth="1"/>
    <col min="13318" max="13318" width="15.85546875" style="21" customWidth="1"/>
    <col min="13319" max="13319" width="17.140625" style="21" customWidth="1"/>
    <col min="13320" max="13567" width="9.140625" style="21"/>
    <col min="13568" max="13568" width="29.28515625" style="21" customWidth="1"/>
    <col min="13569" max="13570" width="14" style="21" customWidth="1"/>
    <col min="13571" max="13571" width="14.140625" style="21" customWidth="1"/>
    <col min="13572" max="13572" width="15.5703125" style="21" customWidth="1"/>
    <col min="13573" max="13573" width="14" style="21" customWidth="1"/>
    <col min="13574" max="13574" width="15.85546875" style="21" customWidth="1"/>
    <col min="13575" max="13575" width="17.140625" style="21" customWidth="1"/>
    <col min="13576" max="13823" width="9.140625" style="21"/>
    <col min="13824" max="13824" width="29.28515625" style="21" customWidth="1"/>
    <col min="13825" max="13826" width="14" style="21" customWidth="1"/>
    <col min="13827" max="13827" width="14.140625" style="21" customWidth="1"/>
    <col min="13828" max="13828" width="15.5703125" style="21" customWidth="1"/>
    <col min="13829" max="13829" width="14" style="21" customWidth="1"/>
    <col min="13830" max="13830" width="15.85546875" style="21" customWidth="1"/>
    <col min="13831" max="13831" width="17.140625" style="21" customWidth="1"/>
    <col min="13832" max="14079" width="9.140625" style="21"/>
    <col min="14080" max="14080" width="29.28515625" style="21" customWidth="1"/>
    <col min="14081" max="14082" width="14" style="21" customWidth="1"/>
    <col min="14083" max="14083" width="14.140625" style="21" customWidth="1"/>
    <col min="14084" max="14084" width="15.5703125" style="21" customWidth="1"/>
    <col min="14085" max="14085" width="14" style="21" customWidth="1"/>
    <col min="14086" max="14086" width="15.85546875" style="21" customWidth="1"/>
    <col min="14087" max="14087" width="17.140625" style="21" customWidth="1"/>
    <col min="14088" max="14335" width="9.140625" style="21"/>
    <col min="14336" max="14336" width="29.28515625" style="21" customWidth="1"/>
    <col min="14337" max="14338" width="14" style="21" customWidth="1"/>
    <col min="14339" max="14339" width="14.140625" style="21" customWidth="1"/>
    <col min="14340" max="14340" width="15.5703125" style="21" customWidth="1"/>
    <col min="14341" max="14341" width="14" style="21" customWidth="1"/>
    <col min="14342" max="14342" width="15.85546875" style="21" customWidth="1"/>
    <col min="14343" max="14343" width="17.140625" style="21" customWidth="1"/>
    <col min="14344" max="14591" width="9.140625" style="21"/>
    <col min="14592" max="14592" width="29.28515625" style="21" customWidth="1"/>
    <col min="14593" max="14594" width="14" style="21" customWidth="1"/>
    <col min="14595" max="14595" width="14.140625" style="21" customWidth="1"/>
    <col min="14596" max="14596" width="15.5703125" style="21" customWidth="1"/>
    <col min="14597" max="14597" width="14" style="21" customWidth="1"/>
    <col min="14598" max="14598" width="15.85546875" style="21" customWidth="1"/>
    <col min="14599" max="14599" width="17.140625" style="21" customWidth="1"/>
    <col min="14600" max="14847" width="9.140625" style="21"/>
    <col min="14848" max="14848" width="29.28515625" style="21" customWidth="1"/>
    <col min="14849" max="14850" width="14" style="21" customWidth="1"/>
    <col min="14851" max="14851" width="14.140625" style="21" customWidth="1"/>
    <col min="14852" max="14852" width="15.5703125" style="21" customWidth="1"/>
    <col min="14853" max="14853" width="14" style="21" customWidth="1"/>
    <col min="14854" max="14854" width="15.85546875" style="21" customWidth="1"/>
    <col min="14855" max="14855" width="17.140625" style="21" customWidth="1"/>
    <col min="14856" max="15103" width="9.140625" style="21"/>
    <col min="15104" max="15104" width="29.28515625" style="21" customWidth="1"/>
    <col min="15105" max="15106" width="14" style="21" customWidth="1"/>
    <col min="15107" max="15107" width="14.140625" style="21" customWidth="1"/>
    <col min="15108" max="15108" width="15.5703125" style="21" customWidth="1"/>
    <col min="15109" max="15109" width="14" style="21" customWidth="1"/>
    <col min="15110" max="15110" width="15.85546875" style="21" customWidth="1"/>
    <col min="15111" max="15111" width="17.140625" style="21" customWidth="1"/>
    <col min="15112" max="15359" width="9.140625" style="21"/>
    <col min="15360" max="15360" width="29.28515625" style="21" customWidth="1"/>
    <col min="15361" max="15362" width="14" style="21" customWidth="1"/>
    <col min="15363" max="15363" width="14.140625" style="21" customWidth="1"/>
    <col min="15364" max="15364" width="15.5703125" style="21" customWidth="1"/>
    <col min="15365" max="15365" width="14" style="21" customWidth="1"/>
    <col min="15366" max="15366" width="15.85546875" style="21" customWidth="1"/>
    <col min="15367" max="15367" width="17.140625" style="21" customWidth="1"/>
    <col min="15368" max="15615" width="9.140625" style="21"/>
    <col min="15616" max="15616" width="29.28515625" style="21" customWidth="1"/>
    <col min="15617" max="15618" width="14" style="21" customWidth="1"/>
    <col min="15619" max="15619" width="14.140625" style="21" customWidth="1"/>
    <col min="15620" max="15620" width="15.5703125" style="21" customWidth="1"/>
    <col min="15621" max="15621" width="14" style="21" customWidth="1"/>
    <col min="15622" max="15622" width="15.85546875" style="21" customWidth="1"/>
    <col min="15623" max="15623" width="17.140625" style="21" customWidth="1"/>
    <col min="15624" max="15871" width="9.140625" style="21"/>
    <col min="15872" max="15872" width="29.28515625" style="21" customWidth="1"/>
    <col min="15873" max="15874" width="14" style="21" customWidth="1"/>
    <col min="15875" max="15875" width="14.140625" style="21" customWidth="1"/>
    <col min="15876" max="15876" width="15.5703125" style="21" customWidth="1"/>
    <col min="15877" max="15877" width="14" style="21" customWidth="1"/>
    <col min="15878" max="15878" width="15.85546875" style="21" customWidth="1"/>
    <col min="15879" max="15879" width="17.140625" style="21" customWidth="1"/>
    <col min="15880" max="16127" width="9.140625" style="21"/>
    <col min="16128" max="16128" width="29.28515625" style="21" customWidth="1"/>
    <col min="16129" max="16130" width="14" style="21" customWidth="1"/>
    <col min="16131" max="16131" width="14.140625" style="21" customWidth="1"/>
    <col min="16132" max="16132" width="15.5703125" style="21" customWidth="1"/>
    <col min="16133" max="16133" width="14" style="21" customWidth="1"/>
    <col min="16134" max="16134" width="15.85546875" style="21" customWidth="1"/>
    <col min="16135" max="16135" width="17.140625" style="21" customWidth="1"/>
    <col min="16136" max="16384" width="9.140625" style="21"/>
  </cols>
  <sheetData>
    <row r="4" spans="1:7" ht="13.5" thickBot="1" x14ac:dyDescent="0.25">
      <c r="E4" s="22"/>
    </row>
    <row r="5" spans="1:7" x14ac:dyDescent="0.2">
      <c r="B5" s="22" t="s">
        <v>111</v>
      </c>
      <c r="C5" s="23" t="s">
        <v>112</v>
      </c>
      <c r="D5" s="140" t="s">
        <v>113</v>
      </c>
      <c r="E5" s="141"/>
      <c r="F5" s="141"/>
      <c r="G5" s="141"/>
    </row>
    <row r="6" spans="1:7" ht="18.75" thickBot="1" x14ac:dyDescent="0.3">
      <c r="A6" s="24" t="s">
        <v>114</v>
      </c>
      <c r="B6" s="25">
        <v>2020</v>
      </c>
      <c r="C6" s="26">
        <v>2021</v>
      </c>
      <c r="D6" s="27">
        <v>2022</v>
      </c>
      <c r="E6" s="28">
        <v>2023</v>
      </c>
      <c r="F6" s="28">
        <v>2024</v>
      </c>
      <c r="G6" s="28">
        <v>2025</v>
      </c>
    </row>
    <row r="7" spans="1:7" x14ac:dyDescent="0.2">
      <c r="A7" s="29" t="s">
        <v>10</v>
      </c>
      <c r="B7" s="30">
        <v>211688</v>
      </c>
      <c r="C7" s="105">
        <v>211688</v>
      </c>
      <c r="D7" s="30">
        <v>211688</v>
      </c>
      <c r="E7" s="30">
        <v>211688</v>
      </c>
      <c r="F7" s="30">
        <v>211688</v>
      </c>
      <c r="G7" s="30">
        <v>211688</v>
      </c>
    </row>
    <row r="8" spans="1:7" ht="14.25" x14ac:dyDescent="0.2">
      <c r="A8" s="29"/>
      <c r="B8" s="31"/>
      <c r="C8" s="106"/>
      <c r="D8" s="31"/>
      <c r="E8" s="31"/>
      <c r="F8" s="31"/>
      <c r="G8" s="31"/>
    </row>
    <row r="9" spans="1:7" x14ac:dyDescent="0.2">
      <c r="A9" s="29" t="s">
        <v>115</v>
      </c>
      <c r="B9" s="32">
        <v>717850</v>
      </c>
      <c r="C9" s="107">
        <v>746800</v>
      </c>
      <c r="D9" s="32">
        <f>D48</f>
        <v>787005.00552252016</v>
      </c>
      <c r="E9" s="32">
        <f>E48</f>
        <v>802745.10563297058</v>
      </c>
      <c r="F9" s="32">
        <f>F48</f>
        <v>818800.00774562999</v>
      </c>
      <c r="G9" s="32">
        <f>G48</f>
        <v>835176.0079005427</v>
      </c>
    </row>
    <row r="10" spans="1:7" ht="14.25" x14ac:dyDescent="0.2">
      <c r="A10" s="29"/>
      <c r="B10" s="31"/>
      <c r="C10" s="106"/>
      <c r="D10" s="31"/>
      <c r="E10" s="31"/>
      <c r="F10" s="31"/>
      <c r="G10" s="31"/>
    </row>
    <row r="11" spans="1:7" x14ac:dyDescent="0.2">
      <c r="A11" s="29" t="s">
        <v>116</v>
      </c>
      <c r="B11" s="32">
        <v>307277</v>
      </c>
      <c r="C11" s="107">
        <v>310277</v>
      </c>
      <c r="D11" s="32">
        <v>225000</v>
      </c>
      <c r="E11" s="32">
        <v>225000</v>
      </c>
      <c r="F11" s="32">
        <v>225000</v>
      </c>
      <c r="G11" s="32">
        <v>225000</v>
      </c>
    </row>
    <row r="12" spans="1:7" ht="14.25" x14ac:dyDescent="0.2">
      <c r="A12" s="29"/>
      <c r="B12" s="31"/>
      <c r="C12" s="106"/>
      <c r="D12" s="31"/>
      <c r="E12" s="31"/>
      <c r="F12" s="31"/>
      <c r="G12" s="31"/>
    </row>
    <row r="13" spans="1:7" x14ac:dyDescent="0.2">
      <c r="A13" s="29" t="s">
        <v>117</v>
      </c>
      <c r="B13" s="30">
        <v>200000</v>
      </c>
      <c r="C13" s="105">
        <v>200000</v>
      </c>
      <c r="D13" s="30">
        <v>200000</v>
      </c>
      <c r="E13" s="30">
        <v>200000</v>
      </c>
      <c r="F13" s="30">
        <v>200000</v>
      </c>
      <c r="G13" s="30">
        <v>200000</v>
      </c>
    </row>
    <row r="14" spans="1:7" x14ac:dyDescent="0.2">
      <c r="A14" s="29"/>
      <c r="B14" s="30"/>
      <c r="C14" s="105"/>
      <c r="D14" s="30"/>
      <c r="E14" s="30"/>
      <c r="F14" s="30"/>
      <c r="G14" s="30"/>
    </row>
    <row r="15" spans="1:7" x14ac:dyDescent="0.2">
      <c r="A15" s="29" t="s">
        <v>118</v>
      </c>
      <c r="B15" s="30">
        <v>15000</v>
      </c>
      <c r="C15" s="105">
        <v>30000</v>
      </c>
      <c r="D15" s="30">
        <v>40000</v>
      </c>
      <c r="E15" s="30">
        <v>40000</v>
      </c>
      <c r="F15" s="30">
        <v>40000</v>
      </c>
      <c r="G15" s="30">
        <v>40000</v>
      </c>
    </row>
    <row r="16" spans="1:7" x14ac:dyDescent="0.2">
      <c r="A16" s="29"/>
      <c r="B16" s="30"/>
      <c r="C16" s="105"/>
      <c r="D16" s="30"/>
      <c r="E16" s="30"/>
      <c r="F16" s="30"/>
      <c r="G16" s="30"/>
    </row>
    <row r="17" spans="1:7" x14ac:dyDescent="0.2">
      <c r="A17" s="29" t="s">
        <v>151</v>
      </c>
      <c r="B17" s="30">
        <v>46000</v>
      </c>
      <c r="C17" s="105">
        <v>48000</v>
      </c>
      <c r="D17" s="30">
        <v>48000</v>
      </c>
      <c r="E17" s="30">
        <v>48000</v>
      </c>
      <c r="F17" s="30">
        <v>48000</v>
      </c>
      <c r="G17" s="30">
        <v>48000</v>
      </c>
    </row>
    <row r="18" spans="1:7" x14ac:dyDescent="0.2">
      <c r="A18" s="29"/>
      <c r="B18" s="30"/>
      <c r="C18" s="105"/>
      <c r="D18" s="30"/>
      <c r="E18" s="30"/>
      <c r="F18" s="30"/>
      <c r="G18" s="30"/>
    </row>
    <row r="19" spans="1:7" x14ac:dyDescent="0.2">
      <c r="A19" s="29" t="s">
        <v>119</v>
      </c>
      <c r="B19" s="33">
        <v>6851</v>
      </c>
      <c r="C19" s="108">
        <v>5799</v>
      </c>
      <c r="D19" s="33">
        <v>6000</v>
      </c>
      <c r="E19" s="33">
        <v>6000</v>
      </c>
      <c r="F19" s="33">
        <v>6000</v>
      </c>
      <c r="G19" s="33">
        <v>6000</v>
      </c>
    </row>
    <row r="20" spans="1:7" x14ac:dyDescent="0.2">
      <c r="B20" s="30"/>
      <c r="C20" s="105"/>
      <c r="D20" s="30"/>
      <c r="E20" s="30"/>
      <c r="F20" s="30"/>
      <c r="G20" s="30"/>
    </row>
    <row r="21" spans="1:7" x14ac:dyDescent="0.2">
      <c r="A21" s="29" t="s">
        <v>120</v>
      </c>
      <c r="B21" s="30">
        <f t="shared" ref="B21:G21" si="0">SUM(B7:B19)</f>
        <v>1504666</v>
      </c>
      <c r="C21" s="105">
        <f t="shared" si="0"/>
        <v>1552564</v>
      </c>
      <c r="D21" s="30">
        <f t="shared" si="0"/>
        <v>1517693.0055225203</v>
      </c>
      <c r="E21" s="30">
        <f t="shared" si="0"/>
        <v>1533433.1056329706</v>
      </c>
      <c r="F21" s="30">
        <f t="shared" si="0"/>
        <v>1549488.0077456301</v>
      </c>
      <c r="G21" s="30">
        <f t="shared" si="0"/>
        <v>1565864.0079005426</v>
      </c>
    </row>
    <row r="22" spans="1:7" ht="14.25" x14ac:dyDescent="0.2">
      <c r="A22" s="29"/>
      <c r="B22" s="31"/>
      <c r="C22" s="106"/>
      <c r="D22" s="31"/>
      <c r="E22" s="31"/>
      <c r="F22" s="31"/>
      <c r="G22" s="31"/>
    </row>
    <row r="23" spans="1:7" ht="14.25" x14ac:dyDescent="0.2">
      <c r="B23" s="34"/>
      <c r="C23" s="109"/>
      <c r="D23" s="104"/>
      <c r="E23" s="104"/>
      <c r="F23" s="104"/>
      <c r="G23" s="104"/>
    </row>
    <row r="24" spans="1:7" ht="18.75" thickBot="1" x14ac:dyDescent="0.3">
      <c r="A24" s="24" t="s">
        <v>121</v>
      </c>
      <c r="B24" s="25">
        <v>2020</v>
      </c>
      <c r="C24" s="26">
        <v>2021</v>
      </c>
      <c r="D24" s="27">
        <v>2022</v>
      </c>
      <c r="E24" s="28">
        <v>2023</v>
      </c>
      <c r="F24" s="28">
        <v>2024</v>
      </c>
      <c r="G24" s="28">
        <v>2025</v>
      </c>
    </row>
    <row r="25" spans="1:7" hidden="1" x14ac:dyDescent="0.2">
      <c r="A25" s="29" t="s">
        <v>122</v>
      </c>
      <c r="B25" s="30" t="e">
        <f>#REF!*1.02</f>
        <v>#REF!</v>
      </c>
      <c r="C25" s="105" t="e">
        <f t="shared" ref="C25:G29" si="1">B25*1.02</f>
        <v>#REF!</v>
      </c>
      <c r="D25" s="30" t="e">
        <f t="shared" si="1"/>
        <v>#REF!</v>
      </c>
      <c r="E25" s="30" t="e">
        <f t="shared" si="1"/>
        <v>#REF!</v>
      </c>
      <c r="F25" s="30" t="e">
        <f t="shared" si="1"/>
        <v>#REF!</v>
      </c>
      <c r="G25" s="30" t="e">
        <f t="shared" si="1"/>
        <v>#REF!</v>
      </c>
    </row>
    <row r="26" spans="1:7" hidden="1" x14ac:dyDescent="0.2">
      <c r="A26" s="29" t="s">
        <v>123</v>
      </c>
      <c r="B26" s="30" t="e">
        <f>#REF!*1.02</f>
        <v>#REF!</v>
      </c>
      <c r="C26" s="105" t="e">
        <f t="shared" si="1"/>
        <v>#REF!</v>
      </c>
      <c r="D26" s="30" t="e">
        <f t="shared" si="1"/>
        <v>#REF!</v>
      </c>
      <c r="E26" s="30" t="e">
        <f t="shared" si="1"/>
        <v>#REF!</v>
      </c>
      <c r="F26" s="30" t="e">
        <f t="shared" si="1"/>
        <v>#REF!</v>
      </c>
      <c r="G26" s="30" t="e">
        <f t="shared" si="1"/>
        <v>#REF!</v>
      </c>
    </row>
    <row r="27" spans="1:7" hidden="1" x14ac:dyDescent="0.2">
      <c r="A27" s="29" t="s">
        <v>124</v>
      </c>
      <c r="B27" s="30" t="e">
        <f>#REF!*1.02</f>
        <v>#REF!</v>
      </c>
      <c r="C27" s="105" t="e">
        <f t="shared" si="1"/>
        <v>#REF!</v>
      </c>
      <c r="D27" s="30" t="e">
        <f t="shared" si="1"/>
        <v>#REF!</v>
      </c>
      <c r="E27" s="30" t="e">
        <f t="shared" si="1"/>
        <v>#REF!</v>
      </c>
      <c r="F27" s="30" t="e">
        <f t="shared" si="1"/>
        <v>#REF!</v>
      </c>
      <c r="G27" s="30" t="e">
        <f t="shared" si="1"/>
        <v>#REF!</v>
      </c>
    </row>
    <row r="28" spans="1:7" hidden="1" x14ac:dyDescent="0.2">
      <c r="A28" s="29" t="s">
        <v>125</v>
      </c>
      <c r="B28" s="33" t="e">
        <f>#REF!*1.02</f>
        <v>#REF!</v>
      </c>
      <c r="C28" s="108" t="e">
        <f t="shared" si="1"/>
        <v>#REF!</v>
      </c>
      <c r="D28" s="33" t="e">
        <f t="shared" si="1"/>
        <v>#REF!</v>
      </c>
      <c r="E28" s="33" t="e">
        <f t="shared" si="1"/>
        <v>#REF!</v>
      </c>
      <c r="F28" s="33" t="e">
        <f t="shared" si="1"/>
        <v>#REF!</v>
      </c>
      <c r="G28" s="33" t="e">
        <f t="shared" si="1"/>
        <v>#REF!</v>
      </c>
    </row>
    <row r="29" spans="1:7" x14ac:dyDescent="0.2">
      <c r="A29" s="29" t="s">
        <v>126</v>
      </c>
      <c r="B29" s="30">
        <v>787700</v>
      </c>
      <c r="C29" s="105">
        <v>818446</v>
      </c>
      <c r="D29" s="30">
        <f t="shared" si="1"/>
        <v>834814.92</v>
      </c>
      <c r="E29" s="30">
        <f t="shared" si="1"/>
        <v>851511.21840000001</v>
      </c>
      <c r="F29" s="30">
        <f t="shared" si="1"/>
        <v>868541.44276800007</v>
      </c>
      <c r="G29" s="30">
        <f t="shared" si="1"/>
        <v>885912.27162336011</v>
      </c>
    </row>
    <row r="30" spans="1:7" x14ac:dyDescent="0.2">
      <c r="B30" s="30"/>
      <c r="C30" s="105"/>
      <c r="D30" s="30"/>
      <c r="E30" s="30"/>
      <c r="F30" s="30"/>
      <c r="G30" s="30"/>
    </row>
    <row r="31" spans="1:7" x14ac:dyDescent="0.2">
      <c r="B31" s="30"/>
      <c r="C31" s="105"/>
      <c r="D31" s="30"/>
      <c r="E31" s="30"/>
      <c r="F31" s="30"/>
      <c r="G31" s="30"/>
    </row>
    <row r="32" spans="1:7" x14ac:dyDescent="0.2">
      <c r="A32" s="29" t="s">
        <v>127</v>
      </c>
      <c r="B32" s="30">
        <v>60000</v>
      </c>
      <c r="C32" s="105">
        <v>60000</v>
      </c>
      <c r="D32" s="30">
        <v>60000</v>
      </c>
      <c r="E32" s="30">
        <v>60000</v>
      </c>
      <c r="F32" s="30">
        <v>60000</v>
      </c>
      <c r="G32" s="30">
        <v>60000</v>
      </c>
    </row>
    <row r="33" spans="1:8" ht="15.75" customHeight="1" x14ac:dyDescent="0.2">
      <c r="A33" s="29"/>
      <c r="B33" s="30"/>
      <c r="C33" s="105"/>
      <c r="D33" s="30"/>
      <c r="E33" s="30"/>
      <c r="F33" s="30"/>
      <c r="G33" s="30"/>
    </row>
    <row r="34" spans="1:8" ht="15.75" customHeight="1" x14ac:dyDescent="0.2">
      <c r="A34" s="29" t="s">
        <v>128</v>
      </c>
      <c r="B34" s="30">
        <v>123091</v>
      </c>
      <c r="C34" s="105">
        <v>126538</v>
      </c>
      <c r="D34" s="30">
        <v>64346</v>
      </c>
      <c r="E34" s="30">
        <v>52220</v>
      </c>
      <c r="F34" s="30">
        <v>39850</v>
      </c>
      <c r="G34" s="30">
        <v>27234</v>
      </c>
    </row>
    <row r="35" spans="1:8" ht="17.25" customHeight="1" x14ac:dyDescent="0.2">
      <c r="A35" s="29" t="s">
        <v>129</v>
      </c>
      <c r="B35" s="30">
        <v>533875</v>
      </c>
      <c r="C35" s="105">
        <v>547580</v>
      </c>
      <c r="D35" s="30">
        <f>C35*1.02</f>
        <v>558531.6</v>
      </c>
      <c r="E35" s="30">
        <f t="shared" ref="E35:G35" si="2">D35*1.02</f>
        <v>569702.23199999996</v>
      </c>
      <c r="F35" s="30">
        <f t="shared" si="2"/>
        <v>581096.27663999994</v>
      </c>
      <c r="G35" s="30">
        <f t="shared" si="2"/>
        <v>592718.20217279997</v>
      </c>
    </row>
    <row r="36" spans="1:8" x14ac:dyDescent="0.2">
      <c r="B36" s="30"/>
      <c r="C36" s="105"/>
      <c r="D36" s="30"/>
      <c r="E36" s="30"/>
      <c r="F36" s="30"/>
      <c r="G36" s="30"/>
    </row>
    <row r="37" spans="1:8" ht="15" thickBot="1" x14ac:dyDescent="0.25">
      <c r="A37" s="29" t="s">
        <v>130</v>
      </c>
      <c r="B37" s="35">
        <f t="shared" ref="B37" si="3">SUM(B29:B36)</f>
        <v>1504666</v>
      </c>
      <c r="C37" s="110">
        <f>SUM(C29:C35)</f>
        <v>1552564</v>
      </c>
      <c r="D37" s="35">
        <f t="shared" ref="D37:G37" si="4">SUM(D29:D35)</f>
        <v>1517692.52</v>
      </c>
      <c r="E37" s="35">
        <f t="shared" si="4"/>
        <v>1533433.4504</v>
      </c>
      <c r="F37" s="35">
        <f t="shared" si="4"/>
        <v>1549487.7194079999</v>
      </c>
      <c r="G37" s="35">
        <f t="shared" si="4"/>
        <v>1565864.47379616</v>
      </c>
    </row>
    <row r="38" spans="1:8" x14ac:dyDescent="0.2">
      <c r="A38" s="29"/>
      <c r="B38" s="36"/>
      <c r="C38" s="111"/>
      <c r="D38" s="36"/>
      <c r="E38" s="36"/>
      <c r="F38" s="36"/>
      <c r="G38" s="36"/>
    </row>
    <row r="39" spans="1:8" x14ac:dyDescent="0.2">
      <c r="A39" s="29"/>
      <c r="B39" s="30"/>
      <c r="C39" s="105"/>
      <c r="D39" s="30"/>
      <c r="E39" s="30"/>
      <c r="F39" s="30"/>
      <c r="G39" s="30"/>
    </row>
    <row r="40" spans="1:8" x14ac:dyDescent="0.2">
      <c r="A40" s="29" t="s">
        <v>131</v>
      </c>
      <c r="B40" s="30">
        <v>3066056480</v>
      </c>
      <c r="C40" s="105">
        <f>B54</f>
        <v>3230204985</v>
      </c>
      <c r="D40" s="30">
        <f t="shared" ref="D40:G42" si="5">C40*1.02</f>
        <v>3294809084.7000003</v>
      </c>
      <c r="E40" s="30">
        <f t="shared" si="5"/>
        <v>3360705266.3940005</v>
      </c>
      <c r="F40" s="30">
        <f t="shared" si="5"/>
        <v>3427919371.7218804</v>
      </c>
      <c r="G40" s="30">
        <f t="shared" si="5"/>
        <v>3496477759.1563182</v>
      </c>
    </row>
    <row r="41" spans="1:8" x14ac:dyDescent="0.2">
      <c r="A41" s="29" t="s">
        <v>132</v>
      </c>
      <c r="B41" s="37">
        <v>-28420460</v>
      </c>
      <c r="C41" s="112">
        <f>B70*-1</f>
        <v>-22355960</v>
      </c>
      <c r="D41" s="37">
        <f t="shared" si="5"/>
        <v>-22803079.199999999</v>
      </c>
      <c r="E41" s="37">
        <f t="shared" si="5"/>
        <v>-23259140.783999998</v>
      </c>
      <c r="F41" s="37">
        <f t="shared" si="5"/>
        <v>-23724323.599679999</v>
      </c>
      <c r="G41" s="37">
        <f t="shared" si="5"/>
        <v>-24198810.071673598</v>
      </c>
    </row>
    <row r="42" spans="1:8" x14ac:dyDescent="0.2">
      <c r="A42" s="29" t="s">
        <v>133</v>
      </c>
      <c r="B42" s="37">
        <v>-33273135</v>
      </c>
      <c r="C42" s="112">
        <f>B68*-1</f>
        <v>-51654005</v>
      </c>
      <c r="D42" s="37">
        <f t="shared" si="5"/>
        <v>-52687085.100000001</v>
      </c>
      <c r="E42" s="37">
        <f t="shared" si="5"/>
        <v>-53740826.802000001</v>
      </c>
      <c r="F42" s="37">
        <f t="shared" si="5"/>
        <v>-54815643.338040002</v>
      </c>
      <c r="G42" s="37">
        <f t="shared" si="5"/>
        <v>-55911956.204800799</v>
      </c>
    </row>
    <row r="43" spans="1:8" x14ac:dyDescent="0.2">
      <c r="A43" s="29" t="s">
        <v>134</v>
      </c>
      <c r="B43" s="30">
        <v>3004362885</v>
      </c>
      <c r="C43" s="105">
        <f>SUM(C40:C42)</f>
        <v>3156195020</v>
      </c>
      <c r="D43" s="30">
        <f>SUM(D40:D42)</f>
        <v>3219318920.4000006</v>
      </c>
      <c r="E43" s="30">
        <f t="shared" ref="E43:G43" si="6">SUM(E40:E42)</f>
        <v>3283705298.8080006</v>
      </c>
      <c r="F43" s="30">
        <f t="shared" si="6"/>
        <v>3349379404.7841606</v>
      </c>
      <c r="G43" s="30">
        <f t="shared" si="6"/>
        <v>3416366992.8798442</v>
      </c>
    </row>
    <row r="44" spans="1:8" ht="14.25" x14ac:dyDescent="0.2">
      <c r="A44" s="29"/>
      <c r="B44" s="38"/>
      <c r="C44" s="105"/>
      <c r="D44" s="30"/>
      <c r="E44" s="30"/>
      <c r="F44" s="30"/>
      <c r="G44" s="30"/>
      <c r="H44" s="30"/>
    </row>
    <row r="45" spans="1:8" x14ac:dyDescent="0.2">
      <c r="A45" s="29"/>
      <c r="B45" s="30"/>
      <c r="C45" s="105"/>
      <c r="D45" s="30"/>
      <c r="E45" s="30"/>
      <c r="F45" s="30"/>
      <c r="G45" s="30"/>
      <c r="H45" s="30"/>
    </row>
    <row r="46" spans="1:8" ht="26.25" thickBot="1" x14ac:dyDescent="0.25">
      <c r="A46" s="39" t="s">
        <v>135</v>
      </c>
      <c r="B46" s="40">
        <v>732568.64239347866</v>
      </c>
      <c r="C46" s="113">
        <f>D54</f>
        <v>764276.13605000009</v>
      </c>
      <c r="D46" s="40">
        <f>D43*0.25/1000</f>
        <v>804829.73010000016</v>
      </c>
      <c r="E46" s="40">
        <f>E43*0.25/1000</f>
        <v>820926.32470200013</v>
      </c>
      <c r="F46" s="40">
        <f>F43*0.25/1000</f>
        <v>837344.85119604017</v>
      </c>
      <c r="G46" s="40">
        <f>G43*0.25/1000</f>
        <v>854091.74821996107</v>
      </c>
    </row>
    <row r="47" spans="1:8" ht="25.5" x14ac:dyDescent="0.2">
      <c r="A47" s="39" t="s">
        <v>136</v>
      </c>
      <c r="B47" s="30">
        <v>14719.187813999999</v>
      </c>
      <c r="C47" s="105">
        <f>D68+D70</f>
        <v>17475.220173999998</v>
      </c>
      <c r="D47" s="30">
        <f t="shared" ref="D47:G47" si="7">C47*1.02</f>
        <v>17824.724577479999</v>
      </c>
      <c r="E47" s="30">
        <f t="shared" si="7"/>
        <v>18181.219069029601</v>
      </c>
      <c r="F47" s="30">
        <f t="shared" si="7"/>
        <v>18544.843450410193</v>
      </c>
      <c r="G47" s="30">
        <f t="shared" si="7"/>
        <v>18915.740319418397</v>
      </c>
    </row>
    <row r="48" spans="1:8" ht="43.5" thickBot="1" x14ac:dyDescent="0.25">
      <c r="A48" s="41" t="s">
        <v>137</v>
      </c>
      <c r="B48" s="42">
        <v>717850</v>
      </c>
      <c r="C48" s="114">
        <f t="shared" ref="C48:G48" si="8">C46-C47</f>
        <v>746800.91587600007</v>
      </c>
      <c r="D48" s="42">
        <f t="shared" si="8"/>
        <v>787005.00552252016</v>
      </c>
      <c r="E48" s="42">
        <f t="shared" si="8"/>
        <v>802745.10563297058</v>
      </c>
      <c r="F48" s="42">
        <f t="shared" si="8"/>
        <v>818800.00774562999</v>
      </c>
      <c r="G48" s="42">
        <f t="shared" si="8"/>
        <v>835176.0079005427</v>
      </c>
    </row>
    <row r="49" spans="1:13" ht="17.25" customHeight="1" thickBot="1" x14ac:dyDescent="0.25">
      <c r="A49" s="29"/>
      <c r="B49" s="30"/>
      <c r="D49" s="30"/>
      <c r="E49" s="30"/>
      <c r="F49" s="30"/>
      <c r="G49" s="30"/>
    </row>
    <row r="50" spans="1:13" ht="24.75" customHeight="1" thickBot="1" x14ac:dyDescent="0.25">
      <c r="A50" s="43" t="s">
        <v>138</v>
      </c>
      <c r="B50" s="116" t="s">
        <v>139</v>
      </c>
      <c r="C50" s="118" t="s">
        <v>140</v>
      </c>
      <c r="D50" s="44">
        <v>2021</v>
      </c>
      <c r="I50" s="27">
        <v>2022</v>
      </c>
      <c r="J50" s="28">
        <v>2023</v>
      </c>
      <c r="K50" s="28">
        <v>2024</v>
      </c>
      <c r="L50" s="28">
        <v>2025</v>
      </c>
      <c r="M50" s="28">
        <v>2025</v>
      </c>
    </row>
    <row r="51" spans="1:13" ht="20.25" customHeight="1" x14ac:dyDescent="0.2">
      <c r="A51" s="45" t="s">
        <v>141</v>
      </c>
      <c r="B51" s="30">
        <v>1897156800</v>
      </c>
      <c r="C51" s="117">
        <v>0.2359</v>
      </c>
      <c r="D51" s="47">
        <f t="shared" ref="D51:D53" si="9">B51*C51/1000</f>
        <v>447539.28912000003</v>
      </c>
      <c r="I51" s="30">
        <f>D51*1.02</f>
        <v>456490.07490240003</v>
      </c>
      <c r="J51" s="30">
        <f>I51*1.02</f>
        <v>465619.87640044803</v>
      </c>
      <c r="K51" s="30">
        <f>J51*1.02</f>
        <v>474932.273928457</v>
      </c>
      <c r="L51" s="30">
        <f>K51*1.02</f>
        <v>484430.91940702614</v>
      </c>
      <c r="M51" s="30">
        <f>L51*1.02</f>
        <v>494119.53779516666</v>
      </c>
    </row>
    <row r="52" spans="1:13" ht="16.5" customHeight="1" x14ac:dyDescent="0.2">
      <c r="A52" s="45" t="s">
        <v>142</v>
      </c>
      <c r="B52" s="30">
        <v>950535070</v>
      </c>
      <c r="C52" s="46">
        <v>0.23680000000000001</v>
      </c>
      <c r="D52" s="47">
        <f t="shared" si="9"/>
        <v>225086.70457600002</v>
      </c>
      <c r="I52" s="30">
        <f>D52*1.02</f>
        <v>229588.43866752004</v>
      </c>
      <c r="J52" s="30">
        <f t="shared" ref="J52:M53" si="10">I52*1.02</f>
        <v>234180.20744087044</v>
      </c>
      <c r="K52" s="30">
        <f t="shared" si="10"/>
        <v>238863.81158968786</v>
      </c>
      <c r="L52" s="30">
        <f t="shared" si="10"/>
        <v>243641.08782148163</v>
      </c>
      <c r="M52" s="30">
        <f t="shared" si="10"/>
        <v>248513.90957791128</v>
      </c>
    </row>
    <row r="53" spans="1:13" ht="18" customHeight="1" x14ac:dyDescent="0.2">
      <c r="A53" s="45" t="s">
        <v>143</v>
      </c>
      <c r="B53" s="33">
        <v>382513115</v>
      </c>
      <c r="C53" s="48">
        <v>0.23960000000000001</v>
      </c>
      <c r="D53" s="49">
        <f t="shared" si="9"/>
        <v>91650.142353999996</v>
      </c>
      <c r="I53" s="33">
        <f>D53*1.02</f>
        <v>93483.145201079999</v>
      </c>
      <c r="J53" s="33">
        <f t="shared" si="10"/>
        <v>95352.808105101605</v>
      </c>
      <c r="K53" s="33">
        <f t="shared" si="10"/>
        <v>97259.864267203637</v>
      </c>
      <c r="L53" s="33">
        <f t="shared" si="10"/>
        <v>99205.061552547704</v>
      </c>
      <c r="M53" s="33">
        <f t="shared" si="10"/>
        <v>101189.16278359866</v>
      </c>
    </row>
    <row r="54" spans="1:13" x14ac:dyDescent="0.2">
      <c r="A54" s="45"/>
      <c r="B54" s="30">
        <f t="shared" ref="B54" si="11">SUM(B51:B53)</f>
        <v>3230204985</v>
      </c>
      <c r="D54" s="47">
        <f>SUM(D51:D53)</f>
        <v>764276.13605000009</v>
      </c>
      <c r="I54" s="30">
        <f>SUM(I51:I53)</f>
        <v>779561.6587710001</v>
      </c>
      <c r="J54" s="30">
        <f>SUM(J51:J53)</f>
        <v>795152.89194642007</v>
      </c>
      <c r="K54" s="30">
        <f>SUM(K51:K53)</f>
        <v>811055.94978534849</v>
      </c>
      <c r="L54" s="30">
        <f t="shared" ref="L54:M54" si="12">SUM(L51:L53)</f>
        <v>827277.06878105551</v>
      </c>
      <c r="M54" s="30">
        <f t="shared" si="12"/>
        <v>843822.61015667662</v>
      </c>
    </row>
    <row r="55" spans="1:13" ht="24.75" hidden="1" customHeight="1" x14ac:dyDescent="0.2">
      <c r="A55" s="50"/>
      <c r="D55" s="51"/>
    </row>
    <row r="56" spans="1:13" ht="12.75" hidden="1" customHeight="1" x14ac:dyDescent="0.2">
      <c r="A56" s="50"/>
      <c r="D56" s="51"/>
    </row>
    <row r="57" spans="1:13" ht="12.75" hidden="1" customHeight="1" x14ac:dyDescent="0.2">
      <c r="A57" s="45" t="s">
        <v>144</v>
      </c>
      <c r="B57" s="30"/>
      <c r="C57" s="30"/>
      <c r="D57" s="47"/>
      <c r="I57" s="30"/>
      <c r="J57" s="30"/>
      <c r="K57" s="30"/>
      <c r="L57" s="30"/>
      <c r="M57" s="30"/>
    </row>
    <row r="58" spans="1:13" ht="12.75" hidden="1" customHeight="1" x14ac:dyDescent="0.2">
      <c r="A58" s="45" t="s">
        <v>141</v>
      </c>
      <c r="B58" s="30">
        <v>1384151070</v>
      </c>
      <c r="C58" s="30">
        <f>B58*0.25/1000</f>
        <v>346037.76750000002</v>
      </c>
      <c r="D58" s="47">
        <f t="shared" ref="D58:D60" si="13">C58*1.02</f>
        <v>352958.52285000001</v>
      </c>
      <c r="I58" s="30">
        <f>D58*1.02</f>
        <v>360017.69330700004</v>
      </c>
      <c r="J58" s="30">
        <f t="shared" ref="J58:M60" si="14">I58*1.02</f>
        <v>367218.04717314005</v>
      </c>
      <c r="K58" s="30">
        <f t="shared" si="14"/>
        <v>374562.40811660286</v>
      </c>
      <c r="L58" s="30">
        <f t="shared" si="14"/>
        <v>382053.65627893491</v>
      </c>
      <c r="M58" s="30">
        <f t="shared" si="14"/>
        <v>389694.72940451361</v>
      </c>
    </row>
    <row r="59" spans="1:13" ht="12.75" hidden="1" customHeight="1" x14ac:dyDescent="0.2">
      <c r="A59" s="45" t="s">
        <v>142</v>
      </c>
      <c r="B59" s="30">
        <v>688957040</v>
      </c>
      <c r="C59" s="30">
        <f>B59*0.25/1000</f>
        <v>172239.26</v>
      </c>
      <c r="D59" s="47">
        <f t="shared" si="13"/>
        <v>175684.04520000002</v>
      </c>
      <c r="I59" s="30">
        <f>D59*1.02</f>
        <v>179197.72610400003</v>
      </c>
      <c r="J59" s="30">
        <f t="shared" si="14"/>
        <v>182781.68062608002</v>
      </c>
      <c r="K59" s="30">
        <f t="shared" si="14"/>
        <v>186437.31423860163</v>
      </c>
      <c r="L59" s="30">
        <f t="shared" si="14"/>
        <v>190166.06052337366</v>
      </c>
      <c r="M59" s="30">
        <f t="shared" si="14"/>
        <v>193969.38173384115</v>
      </c>
    </row>
    <row r="60" spans="1:13" ht="12.75" hidden="1" customHeight="1" x14ac:dyDescent="0.2">
      <c r="A60" s="45" t="s">
        <v>143</v>
      </c>
      <c r="B60" s="33"/>
      <c r="C60" s="33">
        <f>B60*0.25/1000</f>
        <v>0</v>
      </c>
      <c r="D60" s="52">
        <f t="shared" si="13"/>
        <v>0</v>
      </c>
      <c r="I60" s="33">
        <f>D60*1.02</f>
        <v>0</v>
      </c>
      <c r="J60" s="33">
        <f t="shared" si="14"/>
        <v>0</v>
      </c>
      <c r="K60" s="33">
        <f t="shared" si="14"/>
        <v>0</v>
      </c>
      <c r="L60" s="33">
        <f t="shared" si="14"/>
        <v>0</v>
      </c>
      <c r="M60" s="33">
        <f t="shared" si="14"/>
        <v>0</v>
      </c>
    </row>
    <row r="61" spans="1:13" ht="12.75" hidden="1" customHeight="1" x14ac:dyDescent="0.2">
      <c r="A61" s="45"/>
      <c r="B61" s="30">
        <f t="shared" ref="B61:D61" si="15">SUM(B58:B60)</f>
        <v>2073108110</v>
      </c>
      <c r="C61" s="30">
        <f t="shared" si="15"/>
        <v>518277.02750000003</v>
      </c>
      <c r="D61" s="47">
        <f t="shared" si="15"/>
        <v>528642.56805</v>
      </c>
      <c r="I61" s="30">
        <f>SUM(I58:I60)</f>
        <v>539215.4194110001</v>
      </c>
      <c r="J61" s="30">
        <f>SUM(J58:J60)</f>
        <v>549999.72779922001</v>
      </c>
      <c r="K61" s="30">
        <f>SUM(K58:K60)</f>
        <v>560999.72235520452</v>
      </c>
      <c r="L61" s="30">
        <f t="shared" ref="L61:M61" si="16">SUM(L58:L60)</f>
        <v>572219.71680230857</v>
      </c>
      <c r="M61" s="30">
        <f t="shared" si="16"/>
        <v>583664.11113835475</v>
      </c>
    </row>
    <row r="62" spans="1:13" ht="12.75" hidden="1" customHeight="1" x14ac:dyDescent="0.2">
      <c r="A62" s="50"/>
      <c r="D62" s="51"/>
    </row>
    <row r="63" spans="1:13" x14ac:dyDescent="0.2">
      <c r="A63" s="50"/>
      <c r="D63" s="51"/>
    </row>
    <row r="64" spans="1:13" x14ac:dyDescent="0.2">
      <c r="A64" s="45" t="s">
        <v>145</v>
      </c>
      <c r="B64" s="30"/>
      <c r="C64" s="30"/>
      <c r="D64" s="47"/>
      <c r="I64" s="30"/>
      <c r="J64" s="30"/>
      <c r="K64" s="30"/>
      <c r="L64" s="30"/>
      <c r="M64" s="30"/>
    </row>
    <row r="65" spans="1:13" x14ac:dyDescent="0.2">
      <c r="A65" s="45" t="s">
        <v>141</v>
      </c>
      <c r="B65" s="30">
        <v>33576860</v>
      </c>
      <c r="C65" s="30"/>
      <c r="D65" s="47">
        <f>B65*C51/1000</f>
        <v>7920.7812739999999</v>
      </c>
      <c r="I65" s="30">
        <f>D65*1.02</f>
        <v>8079.19689948</v>
      </c>
      <c r="J65" s="30">
        <f t="shared" ref="J65:M67" si="17">I65*1.02</f>
        <v>8240.7808374695996</v>
      </c>
      <c r="K65" s="30">
        <f t="shared" si="17"/>
        <v>8405.5964542189922</v>
      </c>
      <c r="L65" s="30">
        <f t="shared" si="17"/>
        <v>8573.7083833033721</v>
      </c>
      <c r="M65" s="30">
        <f t="shared" si="17"/>
        <v>8745.182550969439</v>
      </c>
    </row>
    <row r="66" spans="1:13" x14ac:dyDescent="0.2">
      <c r="A66" s="45" t="s">
        <v>142</v>
      </c>
      <c r="B66" s="30">
        <v>18077145</v>
      </c>
      <c r="C66" s="30"/>
      <c r="D66" s="47">
        <f>B66*C52/1000</f>
        <v>4280.6679359999998</v>
      </c>
      <c r="I66" s="30">
        <f>D66*1.02</f>
        <v>4366.28129472</v>
      </c>
      <c r="J66" s="30">
        <f t="shared" si="17"/>
        <v>4453.6069206144002</v>
      </c>
      <c r="K66" s="30">
        <f t="shared" si="17"/>
        <v>4542.6790590266883</v>
      </c>
      <c r="L66" s="30">
        <f t="shared" si="17"/>
        <v>4633.5326402072224</v>
      </c>
      <c r="M66" s="30">
        <f t="shared" si="17"/>
        <v>4726.2032930113664</v>
      </c>
    </row>
    <row r="67" spans="1:13" x14ac:dyDescent="0.2">
      <c r="A67" s="45" t="s">
        <v>146</v>
      </c>
      <c r="B67" s="33">
        <v>0</v>
      </c>
      <c r="C67" s="33"/>
      <c r="D67" s="52">
        <f t="shared" ref="D67" si="18">B67*0.25/1000</f>
        <v>0</v>
      </c>
      <c r="I67" s="33">
        <f>D67*1.02</f>
        <v>0</v>
      </c>
      <c r="J67" s="33">
        <f t="shared" si="17"/>
        <v>0</v>
      </c>
      <c r="K67" s="33">
        <f t="shared" si="17"/>
        <v>0</v>
      </c>
      <c r="L67" s="33">
        <f t="shared" si="17"/>
        <v>0</v>
      </c>
      <c r="M67" s="33">
        <f t="shared" si="17"/>
        <v>0</v>
      </c>
    </row>
    <row r="68" spans="1:13" x14ac:dyDescent="0.2">
      <c r="A68" s="45"/>
      <c r="B68" s="30">
        <f t="shared" ref="B68:C68" si="19">SUM(B65:B67)</f>
        <v>51654005</v>
      </c>
      <c r="C68" s="30">
        <f t="shared" si="19"/>
        <v>0</v>
      </c>
      <c r="D68" s="47">
        <f>SUM(D65:D67)</f>
        <v>12201.449209999999</v>
      </c>
      <c r="I68" s="30">
        <f t="shared" ref="I68:M68" si="20">SUM(I65:I67)</f>
        <v>12445.478194200001</v>
      </c>
      <c r="J68" s="30">
        <f t="shared" si="20"/>
        <v>12694.387758084</v>
      </c>
      <c r="K68" s="30">
        <f t="shared" si="20"/>
        <v>12948.27551324568</v>
      </c>
      <c r="L68" s="30">
        <f t="shared" si="20"/>
        <v>13207.241023510594</v>
      </c>
      <c r="M68" s="30">
        <f t="shared" si="20"/>
        <v>13471.385843980806</v>
      </c>
    </row>
    <row r="69" spans="1:13" x14ac:dyDescent="0.2">
      <c r="A69" s="50"/>
      <c r="D69" s="51"/>
    </row>
    <row r="70" spans="1:13" x14ac:dyDescent="0.2">
      <c r="A70" s="45" t="s">
        <v>147</v>
      </c>
      <c r="B70" s="30">
        <v>22355960</v>
      </c>
      <c r="C70" s="30"/>
      <c r="D70" s="47">
        <f>B70*C51/1000</f>
        <v>5273.7709639999994</v>
      </c>
      <c r="I70" s="30">
        <f>D70*1.02</f>
        <v>5379.2463832799995</v>
      </c>
      <c r="J70" s="30">
        <f t="shared" ref="J70:M70" si="21">I70*1.02</f>
        <v>5486.8313109455994</v>
      </c>
      <c r="K70" s="30">
        <f t="shared" si="21"/>
        <v>5596.5679371645119</v>
      </c>
      <c r="L70" s="30">
        <f t="shared" si="21"/>
        <v>5708.4992959078027</v>
      </c>
      <c r="M70" s="30">
        <f t="shared" si="21"/>
        <v>5822.6692818259589</v>
      </c>
    </row>
    <row r="71" spans="1:13" ht="13.5" thickBot="1" x14ac:dyDescent="0.25">
      <c r="A71" s="50"/>
      <c r="D71" s="51"/>
    </row>
    <row r="72" spans="1:13" ht="13.5" thickBot="1" x14ac:dyDescent="0.25">
      <c r="A72" s="142" t="s">
        <v>148</v>
      </c>
      <c r="B72" s="143"/>
      <c r="C72" s="115" t="s">
        <v>187</v>
      </c>
      <c r="D72" s="53" t="s">
        <v>188</v>
      </c>
      <c r="I72" s="30"/>
      <c r="J72" s="30"/>
      <c r="K72" s="30"/>
      <c r="L72" s="30"/>
      <c r="M72" s="30"/>
    </row>
    <row r="73" spans="1:13" ht="21" customHeight="1" x14ac:dyDescent="0.2">
      <c r="A73" s="45" t="s">
        <v>141</v>
      </c>
      <c r="B73" s="30">
        <f>B51-B65-B70</f>
        <v>1841223980</v>
      </c>
      <c r="C73" s="54">
        <f>D73/B51*1000</f>
        <v>0.22894509135038282</v>
      </c>
      <c r="D73" s="55">
        <f>D51-D65-D70</f>
        <v>434344.736882</v>
      </c>
      <c r="I73" s="30">
        <f t="shared" ref="I73:M73" si="22">I51-I65-I70</f>
        <v>443031.63161963999</v>
      </c>
      <c r="J73" s="30">
        <f t="shared" si="22"/>
        <v>451892.26425203279</v>
      </c>
      <c r="K73" s="30">
        <f t="shared" si="22"/>
        <v>460930.10953707347</v>
      </c>
      <c r="L73" s="30">
        <f t="shared" si="22"/>
        <v>470148.71172781498</v>
      </c>
      <c r="M73" s="30">
        <f t="shared" si="22"/>
        <v>479551.6859623713</v>
      </c>
    </row>
    <row r="74" spans="1:13" ht="25.5" customHeight="1" x14ac:dyDescent="0.2">
      <c r="A74" s="45" t="s">
        <v>142</v>
      </c>
      <c r="B74" s="30">
        <f>B52-B66</f>
        <v>932457925</v>
      </c>
      <c r="C74" s="54">
        <f>D74/B52*1000</f>
        <v>0.23229657022544153</v>
      </c>
      <c r="D74" s="55">
        <f>D52-D66</f>
        <v>220806.03664000001</v>
      </c>
      <c r="I74" s="30">
        <f t="shared" ref="I74:M74" si="23">I52-I66</f>
        <v>225222.15737280005</v>
      </c>
      <c r="J74" s="30">
        <f t="shared" si="23"/>
        <v>229726.60052025603</v>
      </c>
      <c r="K74" s="30">
        <f t="shared" si="23"/>
        <v>234321.13253066118</v>
      </c>
      <c r="L74" s="30">
        <f t="shared" si="23"/>
        <v>239007.55518127442</v>
      </c>
      <c r="M74" s="30">
        <f t="shared" si="23"/>
        <v>243787.7062848999</v>
      </c>
    </row>
    <row r="75" spans="1:13" ht="22.5" customHeight="1" x14ac:dyDescent="0.2">
      <c r="A75" s="45" t="s">
        <v>146</v>
      </c>
      <c r="B75" s="33">
        <f>B53</f>
        <v>382513115</v>
      </c>
      <c r="C75" s="54">
        <v>0.2482</v>
      </c>
      <c r="D75" s="56">
        <f>D53</f>
        <v>91650.142353999996</v>
      </c>
      <c r="I75" s="33">
        <f>D75*1.02</f>
        <v>93483.145201079999</v>
      </c>
      <c r="J75" s="33">
        <f t="shared" ref="J75:M75" si="24">I75*1.02</f>
        <v>95352.808105101605</v>
      </c>
      <c r="K75" s="33">
        <f t="shared" si="24"/>
        <v>97259.864267203637</v>
      </c>
      <c r="L75" s="33">
        <f t="shared" si="24"/>
        <v>99205.061552547704</v>
      </c>
      <c r="M75" s="33">
        <f t="shared" si="24"/>
        <v>101189.16278359866</v>
      </c>
    </row>
    <row r="76" spans="1:13" ht="24.75" customHeight="1" thickBot="1" x14ac:dyDescent="0.25">
      <c r="A76" s="57" t="s">
        <v>25</v>
      </c>
      <c r="B76" s="58">
        <f>SUM(B73:B75)</f>
        <v>3156195020</v>
      </c>
      <c r="C76" s="58"/>
      <c r="D76" s="59">
        <f t="shared" ref="D76" si="25">SUM(D73:D75)</f>
        <v>746800.91587600007</v>
      </c>
      <c r="I76" s="30">
        <f>SUM(I73:I75)</f>
        <v>761736.93419352011</v>
      </c>
      <c r="J76" s="30">
        <f>SUM(J73:J75)</f>
        <v>776971.6728773904</v>
      </c>
      <c r="K76" s="30">
        <f>SUM(K73:K75)</f>
        <v>792511.10633493832</v>
      </c>
      <c r="L76" s="30">
        <f>SUM(L73:L75)</f>
        <v>808361.32846163714</v>
      </c>
      <c r="M76" s="30">
        <f t="shared" ref="M76" si="26">SUM(M73:M75)</f>
        <v>824528.5550308699</v>
      </c>
    </row>
    <row r="81" spans="5:5" x14ac:dyDescent="0.2">
      <c r="E81" s="21" t="s">
        <v>149</v>
      </c>
    </row>
  </sheetData>
  <mergeCells count="2">
    <mergeCell ref="D5:G5"/>
    <mergeCell ref="A72:B72"/>
  </mergeCells>
  <pageMargins left="0.16" right="0.16" top="1" bottom="1" header="0.5" footer="0.5"/>
  <pageSetup scale="49" orientation="portrait" r:id="rId1"/>
  <headerFooter alignWithMargins="0">
    <oddHeader>&amp;C&amp;"Arial,Bold"&amp;12NOTA
MILLAGE CALCULATION
AND FORECAST
2021 - 2025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3323-3FF1-4EE8-BDA3-CF57BED0FBC2}">
  <sheetPr codeName="Sheet1"/>
  <dimension ref="A1:N116"/>
  <sheetViews>
    <sheetView tabSelected="1" topLeftCell="A10" zoomScaleNormal="100" workbookViewId="0">
      <pane xSplit="4890" ySplit="1170" topLeftCell="A31" activePane="bottomRight"/>
      <selection sqref="A1:E1048576"/>
      <selection pane="topRight" activeCell="L2" sqref="L2"/>
      <selection pane="bottomLeft" activeCell="A36" sqref="A36:XFD36"/>
      <selection pane="bottomRight" activeCell="L115" sqref="L115"/>
    </sheetView>
  </sheetViews>
  <sheetFormatPr defaultRowHeight="15" x14ac:dyDescent="0.25"/>
  <cols>
    <col min="1" max="4" width="3" style="74" customWidth="1"/>
    <col min="5" max="5" width="30.85546875" style="74" customWidth="1"/>
    <col min="6" max="7" width="10" style="15" hidden="1" customWidth="1"/>
    <col min="8" max="8" width="12" style="15" hidden="1" customWidth="1"/>
    <col min="9" max="9" width="10.28515625" style="15" hidden="1" customWidth="1"/>
    <col min="10" max="10" width="13" style="19" hidden="1" customWidth="1"/>
    <col min="11" max="11" width="15.5703125" style="19" hidden="1" customWidth="1"/>
    <col min="12" max="12" width="17.140625" style="19" customWidth="1"/>
    <col min="14" max="14" width="14.28515625" bestFit="1" customWidth="1"/>
  </cols>
  <sheetData>
    <row r="1" spans="1:12" s="14" customFormat="1" ht="27.75" thickTop="1" thickBot="1" x14ac:dyDescent="0.3">
      <c r="A1" s="71"/>
      <c r="B1" s="71"/>
      <c r="C1" s="71"/>
      <c r="D1" s="71"/>
      <c r="E1" s="71"/>
      <c r="F1" s="13" t="s">
        <v>0</v>
      </c>
      <c r="G1" s="13" t="s">
        <v>1</v>
      </c>
      <c r="H1" s="13" t="s">
        <v>2</v>
      </c>
      <c r="I1" s="13" t="s">
        <v>3</v>
      </c>
      <c r="J1" s="60" t="s">
        <v>108</v>
      </c>
      <c r="K1" s="60" t="s">
        <v>109</v>
      </c>
      <c r="L1" s="60" t="s">
        <v>210</v>
      </c>
    </row>
    <row r="2" spans="1:12" s="68" customFormat="1" ht="16.5" thickTop="1" x14ac:dyDescent="0.25">
      <c r="A2" s="72"/>
      <c r="B2" s="72" t="s">
        <v>4</v>
      </c>
      <c r="C2" s="72"/>
      <c r="D2" s="72"/>
      <c r="E2" s="72"/>
      <c r="F2" s="66"/>
      <c r="G2" s="66"/>
      <c r="H2" s="66"/>
      <c r="I2" s="67"/>
      <c r="J2" s="75"/>
      <c r="K2" s="75"/>
      <c r="L2" s="75"/>
    </row>
    <row r="3" spans="1:12" x14ac:dyDescent="0.25">
      <c r="A3" s="70"/>
      <c r="B3" s="70"/>
      <c r="C3" s="70" t="s">
        <v>5</v>
      </c>
      <c r="D3" s="70"/>
      <c r="E3" s="70"/>
      <c r="F3" s="1"/>
      <c r="G3" s="1"/>
      <c r="H3" s="1"/>
      <c r="I3" s="2"/>
      <c r="J3" s="76"/>
      <c r="K3" s="76"/>
      <c r="L3" s="76"/>
    </row>
    <row r="4" spans="1:12" x14ac:dyDescent="0.25">
      <c r="A4" s="70"/>
      <c r="B4" s="70"/>
      <c r="C4" s="70"/>
      <c r="D4" s="70" t="s">
        <v>6</v>
      </c>
      <c r="E4" s="70"/>
      <c r="F4" s="1">
        <v>10053.67</v>
      </c>
      <c r="G4" s="1">
        <v>300000</v>
      </c>
      <c r="H4" s="1">
        <f>ROUND((F4-G4),5)</f>
        <v>-289946.33</v>
      </c>
      <c r="I4" s="2">
        <f>ROUND(IF(G4=0, IF(F4=0, 0, 1), F4/G4),5)</f>
        <v>3.3509999999999998E-2</v>
      </c>
      <c r="J4" s="76">
        <v>-150000</v>
      </c>
      <c r="K4" s="76">
        <f>G4+J4</f>
        <v>150000</v>
      </c>
      <c r="L4" s="76">
        <v>75000</v>
      </c>
    </row>
    <row r="5" spans="1:12" x14ac:dyDescent="0.25">
      <c r="A5" s="70"/>
      <c r="B5" s="70"/>
      <c r="C5" s="70"/>
      <c r="D5" s="70" t="s">
        <v>7</v>
      </c>
      <c r="E5" s="70"/>
      <c r="F5" s="1">
        <v>56341.86</v>
      </c>
      <c r="G5" s="1"/>
      <c r="H5" s="1"/>
      <c r="I5" s="2"/>
      <c r="J5" s="76">
        <v>147000</v>
      </c>
      <c r="K5" s="76">
        <f t="shared" ref="K5:K8" si="0">G5+J5</f>
        <v>147000</v>
      </c>
      <c r="L5" s="76">
        <v>150000</v>
      </c>
    </row>
    <row r="6" spans="1:12" s="16" customFormat="1" x14ac:dyDescent="0.25">
      <c r="A6" s="70"/>
      <c r="B6" s="70"/>
      <c r="C6" s="70"/>
      <c r="D6" s="70" t="s">
        <v>110</v>
      </c>
      <c r="E6" s="70"/>
      <c r="F6" s="17"/>
      <c r="G6" s="17"/>
      <c r="H6" s="17"/>
      <c r="I6" s="18"/>
      <c r="J6" s="76"/>
      <c r="K6" s="76"/>
      <c r="L6" s="76">
        <v>75000</v>
      </c>
    </row>
    <row r="7" spans="1:12" s="16" customFormat="1" x14ac:dyDescent="0.25">
      <c r="A7" s="70"/>
      <c r="B7" s="70"/>
      <c r="C7" s="70"/>
      <c r="D7" s="70" t="s">
        <v>206</v>
      </c>
      <c r="E7" s="70"/>
      <c r="F7" s="17"/>
      <c r="G7" s="17"/>
      <c r="H7" s="17"/>
      <c r="I7" s="18"/>
      <c r="J7" s="76">
        <v>109386</v>
      </c>
      <c r="K7" s="76">
        <f>J7</f>
        <v>109386</v>
      </c>
      <c r="L7" s="76">
        <v>0</v>
      </c>
    </row>
    <row r="8" spans="1:12" ht="15.75" thickBot="1" x14ac:dyDescent="0.3">
      <c r="A8" s="70"/>
      <c r="B8" s="70"/>
      <c r="C8" s="70"/>
      <c r="D8" s="70" t="s">
        <v>8</v>
      </c>
      <c r="E8" s="70"/>
      <c r="F8" s="3">
        <v>0</v>
      </c>
      <c r="G8" s="3">
        <v>115250</v>
      </c>
      <c r="H8" s="3">
        <f>ROUND((F8-G8),5)</f>
        <v>-115250</v>
      </c>
      <c r="I8" s="4">
        <f>ROUND(IF(G8=0, IF(F8=0, 0, 1), F8/G8),5)</f>
        <v>0</v>
      </c>
      <c r="J8" s="76">
        <v>-115250</v>
      </c>
      <c r="K8" s="76">
        <f t="shared" si="0"/>
        <v>0</v>
      </c>
      <c r="L8" s="76"/>
    </row>
    <row r="9" spans="1:12" x14ac:dyDescent="0.25">
      <c r="A9" s="70"/>
      <c r="B9" s="70"/>
      <c r="C9" s="70" t="s">
        <v>9</v>
      </c>
      <c r="D9" s="70"/>
      <c r="E9" s="70"/>
      <c r="F9" s="146">
        <f>ROUND(SUM(F3:F8),5)</f>
        <v>66395.53</v>
      </c>
      <c r="G9" s="146">
        <f>ROUND(SUM(G3:G8),5)</f>
        <v>415250</v>
      </c>
      <c r="H9" s="146">
        <f>ROUND((F9-G9),5)</f>
        <v>-348854.47</v>
      </c>
      <c r="I9" s="147">
        <f>ROUND(IF(G9=0, IF(F9=0, 0, 1), F9/G9),5)</f>
        <v>0.15989</v>
      </c>
      <c r="J9" s="148"/>
      <c r="K9" s="148"/>
      <c r="L9" s="148">
        <f>SUM(L4:L8)</f>
        <v>300000</v>
      </c>
    </row>
    <row r="10" spans="1:12" x14ac:dyDescent="0.25">
      <c r="A10" s="70"/>
      <c r="B10" s="70"/>
      <c r="C10" s="70" t="s">
        <v>10</v>
      </c>
      <c r="D10" s="70"/>
      <c r="E10" s="70"/>
      <c r="F10" s="1"/>
      <c r="G10" s="1"/>
      <c r="H10" s="1"/>
      <c r="I10" s="2"/>
      <c r="J10" s="76"/>
      <c r="K10" s="76"/>
      <c r="L10" s="76"/>
    </row>
    <row r="11" spans="1:12" x14ac:dyDescent="0.25">
      <c r="A11" s="70"/>
      <c r="B11" s="70"/>
      <c r="C11" s="70"/>
      <c r="D11" s="70" t="s">
        <v>11</v>
      </c>
      <c r="E11" s="70"/>
      <c r="F11" s="1">
        <v>0</v>
      </c>
      <c r="G11" s="1">
        <v>15655</v>
      </c>
      <c r="H11" s="1">
        <f t="shared" ref="H11:H17" si="1">ROUND((F11-G11),5)</f>
        <v>-15655</v>
      </c>
      <c r="I11" s="2">
        <f t="shared" ref="I11:I17" si="2">ROUND(IF(G11=0, IF(F11=0, 0, 1), F11/G11),5)</f>
        <v>0</v>
      </c>
      <c r="J11" s="76"/>
      <c r="K11" s="76">
        <f t="shared" ref="K11:K16" si="3">G11+J11</f>
        <v>15655</v>
      </c>
      <c r="L11" s="76">
        <v>16306</v>
      </c>
    </row>
    <row r="12" spans="1:12" x14ac:dyDescent="0.25">
      <c r="A12" s="70"/>
      <c r="B12" s="70"/>
      <c r="C12" s="70"/>
      <c r="D12" s="70" t="s">
        <v>12</v>
      </c>
      <c r="E12" s="70"/>
      <c r="F12" s="1">
        <v>0</v>
      </c>
      <c r="G12" s="1">
        <v>112297</v>
      </c>
      <c r="H12" s="1">
        <f t="shared" si="1"/>
        <v>-112297</v>
      </c>
      <c r="I12" s="2">
        <f t="shared" si="2"/>
        <v>0</v>
      </c>
      <c r="J12" s="76"/>
      <c r="K12" s="76">
        <f t="shared" si="3"/>
        <v>112297</v>
      </c>
      <c r="L12" s="76">
        <v>107665</v>
      </c>
    </row>
    <row r="13" spans="1:12" x14ac:dyDescent="0.25">
      <c r="A13" s="70"/>
      <c r="B13" s="70"/>
      <c r="C13" s="70"/>
      <c r="D13" s="70" t="s">
        <v>13</v>
      </c>
      <c r="E13" s="70"/>
      <c r="F13" s="1">
        <v>0</v>
      </c>
      <c r="G13" s="1">
        <v>77049</v>
      </c>
      <c r="H13" s="1">
        <f t="shared" si="1"/>
        <v>-77049</v>
      </c>
      <c r="I13" s="2">
        <f t="shared" si="2"/>
        <v>0</v>
      </c>
      <c r="J13" s="76"/>
      <c r="K13" s="76">
        <f t="shared" si="3"/>
        <v>77049</v>
      </c>
      <c r="L13" s="76">
        <v>81028</v>
      </c>
    </row>
    <row r="14" spans="1:12" x14ac:dyDescent="0.25">
      <c r="A14" s="70"/>
      <c r="B14" s="70"/>
      <c r="C14" s="70"/>
      <c r="D14" s="70" t="s">
        <v>14</v>
      </c>
      <c r="E14" s="70"/>
      <c r="F14" s="1">
        <v>0</v>
      </c>
      <c r="G14" s="1">
        <v>2926</v>
      </c>
      <c r="H14" s="1">
        <f t="shared" si="1"/>
        <v>-2926</v>
      </c>
      <c r="I14" s="2">
        <f t="shared" si="2"/>
        <v>0</v>
      </c>
      <c r="J14" s="76"/>
      <c r="K14" s="76">
        <f t="shared" si="3"/>
        <v>2926</v>
      </c>
      <c r="L14" s="76">
        <v>2926</v>
      </c>
    </row>
    <row r="15" spans="1:12" x14ac:dyDescent="0.25">
      <c r="A15" s="70"/>
      <c r="B15" s="70"/>
      <c r="C15" s="70"/>
      <c r="D15" s="70" t="s">
        <v>15</v>
      </c>
      <c r="E15" s="70"/>
      <c r="F15" s="1">
        <v>0</v>
      </c>
      <c r="G15" s="1">
        <v>380</v>
      </c>
      <c r="H15" s="1">
        <f t="shared" si="1"/>
        <v>-380</v>
      </c>
      <c r="I15" s="2">
        <f t="shared" si="2"/>
        <v>0</v>
      </c>
      <c r="J15" s="76"/>
      <c r="K15" s="76">
        <f t="shared" si="3"/>
        <v>380</v>
      </c>
      <c r="L15" s="76">
        <v>380</v>
      </c>
    </row>
    <row r="16" spans="1:12" ht="15.75" thickBot="1" x14ac:dyDescent="0.3">
      <c r="A16" s="70"/>
      <c r="B16" s="70"/>
      <c r="C16" s="70"/>
      <c r="D16" s="70" t="s">
        <v>16</v>
      </c>
      <c r="E16" s="70"/>
      <c r="F16" s="3">
        <v>0</v>
      </c>
      <c r="G16" s="3">
        <v>3382</v>
      </c>
      <c r="H16" s="3">
        <f t="shared" si="1"/>
        <v>-3382</v>
      </c>
      <c r="I16" s="4">
        <f t="shared" si="2"/>
        <v>0</v>
      </c>
      <c r="J16" s="76"/>
      <c r="K16" s="76">
        <f t="shared" si="3"/>
        <v>3382</v>
      </c>
      <c r="L16" s="76">
        <v>3382</v>
      </c>
    </row>
    <row r="17" spans="1:12" x14ac:dyDescent="0.25">
      <c r="A17" s="70"/>
      <c r="B17" s="70"/>
      <c r="C17" s="70" t="s">
        <v>17</v>
      </c>
      <c r="D17" s="70"/>
      <c r="E17" s="70"/>
      <c r="F17" s="1">
        <f>ROUND(SUM(F10:F16),5)</f>
        <v>0</v>
      </c>
      <c r="G17" s="1">
        <f>ROUND(SUM(G10:G16),5)</f>
        <v>211689</v>
      </c>
      <c r="H17" s="1">
        <f t="shared" si="1"/>
        <v>-211689</v>
      </c>
      <c r="I17" s="2">
        <f t="shared" si="2"/>
        <v>0</v>
      </c>
      <c r="J17" s="76"/>
      <c r="K17" s="76"/>
      <c r="L17" s="148">
        <f>SUM(L11:L16)</f>
        <v>211687</v>
      </c>
    </row>
    <row r="18" spans="1:12" x14ac:dyDescent="0.25">
      <c r="A18" s="70"/>
      <c r="B18" s="70"/>
      <c r="C18" s="70" t="s">
        <v>211</v>
      </c>
      <c r="D18" s="70"/>
      <c r="E18" s="70"/>
      <c r="F18" s="1"/>
      <c r="G18" s="1"/>
      <c r="H18" s="1"/>
      <c r="I18" s="2"/>
      <c r="J18" s="76"/>
      <c r="K18" s="76"/>
      <c r="L18" s="76"/>
    </row>
    <row r="19" spans="1:12" x14ac:dyDescent="0.25">
      <c r="A19" s="70"/>
      <c r="B19" s="70"/>
      <c r="C19" s="70"/>
      <c r="D19" s="70" t="s">
        <v>18</v>
      </c>
      <c r="E19" s="70"/>
      <c r="F19" s="1">
        <v>116666.62</v>
      </c>
      <c r="G19" s="1">
        <v>200000</v>
      </c>
      <c r="H19" s="1">
        <f>ROUND((F19-G19),5)</f>
        <v>-83333.38</v>
      </c>
      <c r="I19" s="2">
        <f>ROUND(IF(G19=0, IF(F19=0, 0, 1), F19/G19),5)</f>
        <v>0.58333000000000002</v>
      </c>
      <c r="J19" s="76"/>
      <c r="K19" s="76">
        <f t="shared" ref="K19:K20" si="4">G19+J19</f>
        <v>200000</v>
      </c>
      <c r="L19" s="76">
        <v>200000</v>
      </c>
    </row>
    <row r="20" spans="1:12" ht="15.75" thickBot="1" x14ac:dyDescent="0.3">
      <c r="A20" s="70"/>
      <c r="B20" s="70"/>
      <c r="C20" s="70"/>
      <c r="D20" s="70" t="s">
        <v>19</v>
      </c>
      <c r="E20" s="70"/>
      <c r="F20" s="3">
        <v>2700</v>
      </c>
      <c r="G20" s="3">
        <v>10277</v>
      </c>
      <c r="H20" s="3">
        <f>ROUND((F20-G20),5)</f>
        <v>-7577</v>
      </c>
      <c r="I20" s="4">
        <f>ROUND(IF(G20=0, IF(F20=0, 0, 1), F20/G20),5)</f>
        <v>0.26272000000000001</v>
      </c>
      <c r="J20" s="76"/>
      <c r="K20" s="76">
        <f t="shared" si="4"/>
        <v>10277</v>
      </c>
      <c r="L20" s="76">
        <v>10277</v>
      </c>
    </row>
    <row r="21" spans="1:12" x14ac:dyDescent="0.25">
      <c r="A21" s="70"/>
      <c r="B21" s="70"/>
      <c r="C21" s="70" t="s">
        <v>20</v>
      </c>
      <c r="D21" s="70"/>
      <c r="E21" s="70"/>
      <c r="F21" s="1">
        <f>ROUND(SUM(F18:F20),5)</f>
        <v>119366.62</v>
      </c>
      <c r="G21" s="1">
        <f>ROUND(SUM(G18:G20),5)</f>
        <v>210277</v>
      </c>
      <c r="H21" s="1">
        <f>ROUND((F21-G21),5)</f>
        <v>-90910.38</v>
      </c>
      <c r="I21" s="2">
        <f>ROUND(IF(G21=0, IF(F21=0, 0, 1), F21/G21),5)</f>
        <v>0.56766000000000005</v>
      </c>
      <c r="J21" s="76"/>
      <c r="K21" s="76"/>
      <c r="L21" s="148">
        <f>SUM(L19:L20)</f>
        <v>210277</v>
      </c>
    </row>
    <row r="22" spans="1:12" x14ac:dyDescent="0.25">
      <c r="A22" s="70"/>
      <c r="B22" s="70"/>
      <c r="C22" s="70" t="s">
        <v>21</v>
      </c>
      <c r="D22" s="70"/>
      <c r="E22" s="70"/>
      <c r="F22" s="1"/>
      <c r="G22" s="1"/>
      <c r="H22" s="1"/>
      <c r="I22" s="2"/>
      <c r="J22" s="76"/>
      <c r="K22" s="76"/>
      <c r="L22" s="76"/>
    </row>
    <row r="23" spans="1:12" x14ac:dyDescent="0.25">
      <c r="A23" s="70"/>
      <c r="B23" s="70"/>
      <c r="C23" s="70"/>
      <c r="D23" s="70" t="s">
        <v>22</v>
      </c>
      <c r="E23" s="70"/>
      <c r="F23" s="1">
        <v>223686.55</v>
      </c>
      <c r="G23" s="1">
        <v>213052</v>
      </c>
      <c r="H23" s="1">
        <f>ROUND((F23-G23),5)</f>
        <v>10634.55</v>
      </c>
      <c r="I23" s="2">
        <f>ROUND(IF(G23=0, IF(F23=0, 0, 1), F23/G23),5)</f>
        <v>1.04992</v>
      </c>
      <c r="J23" s="76"/>
      <c r="K23" s="76">
        <f t="shared" ref="K23:K25" si="5">G23+J23</f>
        <v>213052</v>
      </c>
      <c r="L23" s="76">
        <v>220806</v>
      </c>
    </row>
    <row r="24" spans="1:12" x14ac:dyDescent="0.25">
      <c r="A24" s="70"/>
      <c r="B24" s="70"/>
      <c r="C24" s="70"/>
      <c r="D24" s="70" t="s">
        <v>23</v>
      </c>
      <c r="E24" s="70"/>
      <c r="F24" s="1">
        <v>399929.62</v>
      </c>
      <c r="G24" s="1">
        <v>416425</v>
      </c>
      <c r="H24" s="1">
        <f>ROUND((F24-G24),5)</f>
        <v>-16495.38</v>
      </c>
      <c r="I24" s="2">
        <f>ROUND(IF(G24=0, IF(F24=0, 0, 1), F24/G24),5)</f>
        <v>0.96038999999999997</v>
      </c>
      <c r="J24" s="76"/>
      <c r="K24" s="76">
        <f t="shared" si="5"/>
        <v>416425</v>
      </c>
      <c r="L24" s="76">
        <v>434345</v>
      </c>
    </row>
    <row r="25" spans="1:12" ht="15.75" thickBot="1" x14ac:dyDescent="0.3">
      <c r="A25" s="70"/>
      <c r="B25" s="70"/>
      <c r="C25" s="70"/>
      <c r="D25" s="70" t="s">
        <v>24</v>
      </c>
      <c r="E25" s="70"/>
      <c r="F25" s="3">
        <v>84696.22</v>
      </c>
      <c r="G25" s="3">
        <v>88373</v>
      </c>
      <c r="H25" s="3">
        <f>ROUND((F25-G25),5)</f>
        <v>-3676.78</v>
      </c>
      <c r="I25" s="4">
        <f>ROUND(IF(G25=0, IF(F25=0, 0, 1), F25/G25),5)</f>
        <v>0.95838999999999996</v>
      </c>
      <c r="J25" s="76"/>
      <c r="K25" s="76">
        <f t="shared" si="5"/>
        <v>88373</v>
      </c>
      <c r="L25" s="76">
        <v>91650</v>
      </c>
    </row>
    <row r="26" spans="1:12" x14ac:dyDescent="0.25">
      <c r="A26" s="70"/>
      <c r="B26" s="70"/>
      <c r="C26" s="70" t="s">
        <v>25</v>
      </c>
      <c r="D26" s="70"/>
      <c r="E26" s="70"/>
      <c r="F26" s="1">
        <f>ROUND(SUM(F22:F25),5)</f>
        <v>708312.39</v>
      </c>
      <c r="G26" s="1">
        <f>ROUND(SUM(G22:G25),5)</f>
        <v>717850</v>
      </c>
      <c r="H26" s="1">
        <f>ROUND((F26-G26),5)</f>
        <v>-9537.61</v>
      </c>
      <c r="I26" s="2">
        <f>ROUND(IF(G26=0, IF(F26=0, 0, 1), F26/G26),5)</f>
        <v>0.98670999999999998</v>
      </c>
      <c r="J26" s="76"/>
      <c r="K26" s="76"/>
      <c r="L26" s="148">
        <f>SUM(L23:L25)</f>
        <v>746801</v>
      </c>
    </row>
    <row r="27" spans="1:12" x14ac:dyDescent="0.25">
      <c r="A27" s="70"/>
      <c r="B27" s="70"/>
      <c r="C27" s="70" t="s">
        <v>26</v>
      </c>
      <c r="D27" s="70"/>
      <c r="E27" s="70"/>
      <c r="F27" s="1"/>
      <c r="G27" s="1"/>
      <c r="H27" s="1"/>
      <c r="I27" s="2"/>
      <c r="J27" s="76"/>
      <c r="K27" s="76"/>
      <c r="L27" s="76"/>
    </row>
    <row r="28" spans="1:12" x14ac:dyDescent="0.25">
      <c r="A28" s="70"/>
      <c r="B28" s="70"/>
      <c r="C28" s="70"/>
      <c r="D28" s="70" t="s">
        <v>27</v>
      </c>
      <c r="E28" s="70"/>
      <c r="F28" s="1">
        <v>205</v>
      </c>
      <c r="G28" s="1">
        <v>1750</v>
      </c>
      <c r="H28" s="1">
        <f t="shared" ref="H28:H33" si="6">ROUND((F28-G28),5)</f>
        <v>-1545</v>
      </c>
      <c r="I28" s="2">
        <f t="shared" ref="I28:I33" si="7">ROUND(IF(G28=0, IF(F28=0, 0, 1), F28/G28),5)</f>
        <v>0.11713999999999999</v>
      </c>
      <c r="J28" s="76"/>
      <c r="K28" s="76">
        <f t="shared" ref="K28:K33" si="8">G28+J28</f>
        <v>1750</v>
      </c>
      <c r="L28" s="76">
        <v>1500</v>
      </c>
    </row>
    <row r="29" spans="1:12" x14ac:dyDescent="0.25">
      <c r="A29" s="70"/>
      <c r="B29" s="70"/>
      <c r="C29" s="70"/>
      <c r="D29" s="70" t="s">
        <v>28</v>
      </c>
      <c r="E29" s="70"/>
      <c r="F29" s="1">
        <v>100</v>
      </c>
      <c r="G29" s="1">
        <v>200</v>
      </c>
      <c r="H29" s="1">
        <f t="shared" si="6"/>
        <v>-100</v>
      </c>
      <c r="I29" s="2">
        <f t="shared" si="7"/>
        <v>0.5</v>
      </c>
      <c r="J29" s="76"/>
      <c r="K29" s="76">
        <f t="shared" si="8"/>
        <v>200</v>
      </c>
      <c r="L29" s="76">
        <v>200</v>
      </c>
    </row>
    <row r="30" spans="1:12" x14ac:dyDescent="0.25">
      <c r="A30" s="70"/>
      <c r="B30" s="70"/>
      <c r="C30" s="70"/>
      <c r="D30" s="70" t="s">
        <v>29</v>
      </c>
      <c r="E30" s="70"/>
      <c r="F30" s="1">
        <v>11393.3</v>
      </c>
      <c r="G30" s="1">
        <v>45000</v>
      </c>
      <c r="H30" s="1">
        <f t="shared" si="6"/>
        <v>-33606.699999999997</v>
      </c>
      <c r="I30" s="2">
        <f t="shared" si="7"/>
        <v>0.25318000000000002</v>
      </c>
      <c r="J30" s="76">
        <v>-33000</v>
      </c>
      <c r="K30" s="76">
        <f t="shared" si="8"/>
        <v>12000</v>
      </c>
      <c r="L30" s="76">
        <v>20000</v>
      </c>
    </row>
    <row r="31" spans="1:12" x14ac:dyDescent="0.25">
      <c r="A31" s="70"/>
      <c r="B31" s="70"/>
      <c r="C31" s="70"/>
      <c r="D31" s="70" t="s">
        <v>30</v>
      </c>
      <c r="E31" s="70"/>
      <c r="F31" s="1">
        <v>1215.45</v>
      </c>
      <c r="G31" s="1">
        <v>2800</v>
      </c>
      <c r="H31" s="1">
        <f t="shared" si="6"/>
        <v>-1584.55</v>
      </c>
      <c r="I31" s="2">
        <f t="shared" si="7"/>
        <v>0.43408999999999998</v>
      </c>
      <c r="J31" s="76"/>
      <c r="K31" s="76">
        <f t="shared" si="8"/>
        <v>2800</v>
      </c>
      <c r="L31" s="76">
        <v>2000</v>
      </c>
    </row>
    <row r="32" spans="1:12" x14ac:dyDescent="0.25">
      <c r="A32" s="70"/>
      <c r="B32" s="70"/>
      <c r="C32" s="70"/>
      <c r="D32" s="70" t="s">
        <v>31</v>
      </c>
      <c r="E32" s="70"/>
      <c r="F32" s="1">
        <v>485.85</v>
      </c>
      <c r="G32" s="1">
        <v>5000</v>
      </c>
      <c r="H32" s="1">
        <f t="shared" si="6"/>
        <v>-4514.1499999999996</v>
      </c>
      <c r="I32" s="2">
        <f t="shared" si="7"/>
        <v>9.7170000000000006E-2</v>
      </c>
      <c r="J32" s="76">
        <v>-3000</v>
      </c>
      <c r="K32" s="76">
        <f t="shared" si="8"/>
        <v>2000</v>
      </c>
      <c r="L32" s="76">
        <v>2000</v>
      </c>
    </row>
    <row r="33" spans="1:14" x14ac:dyDescent="0.25">
      <c r="A33" s="70"/>
      <c r="B33" s="70"/>
      <c r="C33" s="70"/>
      <c r="D33" s="70" t="s">
        <v>32</v>
      </c>
      <c r="E33" s="70"/>
      <c r="F33" s="17">
        <v>27865.279999999999</v>
      </c>
      <c r="G33" s="17">
        <v>46000</v>
      </c>
      <c r="H33" s="17">
        <f t="shared" si="6"/>
        <v>-18134.72</v>
      </c>
      <c r="I33" s="18">
        <f t="shared" si="7"/>
        <v>0.60577000000000003</v>
      </c>
      <c r="J33" s="76"/>
      <c r="K33" s="76">
        <f t="shared" si="8"/>
        <v>46000</v>
      </c>
      <c r="L33" s="76">
        <v>48000</v>
      </c>
    </row>
    <row r="34" spans="1:14" ht="15.75" thickBot="1" x14ac:dyDescent="0.3">
      <c r="A34" s="70"/>
      <c r="B34" s="70"/>
      <c r="C34" s="70" t="s">
        <v>34</v>
      </c>
      <c r="D34" s="70"/>
      <c r="E34" s="70"/>
      <c r="F34" s="3">
        <v>35</v>
      </c>
      <c r="G34" s="3"/>
      <c r="H34" s="3"/>
      <c r="I34" s="4"/>
      <c r="J34" s="76">
        <v>100</v>
      </c>
      <c r="K34" s="76">
        <v>100</v>
      </c>
      <c r="L34" s="76">
        <v>100</v>
      </c>
    </row>
    <row r="35" spans="1:14" x14ac:dyDescent="0.25">
      <c r="A35" s="70"/>
      <c r="B35" s="70"/>
      <c r="C35" s="70" t="s">
        <v>33</v>
      </c>
      <c r="D35" s="70"/>
      <c r="E35" s="70"/>
      <c r="F35" s="1">
        <f>ROUND(F2+F9+F17+F21+F26+SUM(F28:F34),5)</f>
        <v>935374.42</v>
      </c>
      <c r="G35" s="1">
        <f>ROUND(G2+G9+G17+G21+G26+SUM(G28:G34),5)</f>
        <v>1655816</v>
      </c>
      <c r="H35" s="1">
        <f>ROUND((F35-G35),5)</f>
        <v>-720441.58</v>
      </c>
      <c r="I35" s="2">
        <f>ROUND(IF(G35=0, IF(F35=0, 0, 1), F35/G35),5)</f>
        <v>0.56489999999999996</v>
      </c>
      <c r="J35" s="76">
        <f>SUM(J4:J34)</f>
        <v>-44764</v>
      </c>
      <c r="K35" s="76">
        <f>SUM(K4:K34)</f>
        <v>1611052</v>
      </c>
      <c r="L35" s="148">
        <f>SUM(L28:L34)</f>
        <v>73800</v>
      </c>
      <c r="N35" s="69"/>
    </row>
    <row r="36" spans="1:14" s="16" customFormat="1" x14ac:dyDescent="0.25">
      <c r="A36" s="70"/>
      <c r="B36" s="149" t="s">
        <v>212</v>
      </c>
      <c r="C36" s="149"/>
      <c r="D36" s="149"/>
      <c r="E36" s="149"/>
      <c r="F36" s="150"/>
      <c r="G36" s="150"/>
      <c r="H36" s="150"/>
      <c r="I36" s="151"/>
      <c r="J36" s="152"/>
      <c r="K36" s="152"/>
      <c r="L36" s="153">
        <f>L35+L26+L21+L17+L9</f>
        <v>1542565</v>
      </c>
      <c r="N36" s="69"/>
    </row>
    <row r="37" spans="1:14" s="68" customFormat="1" ht="15.75" x14ac:dyDescent="0.25">
      <c r="A37" s="72"/>
      <c r="B37" s="72" t="s">
        <v>35</v>
      </c>
      <c r="C37" s="72"/>
      <c r="D37" s="72"/>
      <c r="E37" s="72"/>
      <c r="F37" s="66"/>
      <c r="G37" s="66"/>
      <c r="H37" s="66"/>
      <c r="I37" s="67"/>
      <c r="J37" s="75"/>
      <c r="K37" s="75"/>
      <c r="L37" s="75"/>
    </row>
    <row r="38" spans="1:14" x14ac:dyDescent="0.25">
      <c r="A38" s="70"/>
      <c r="B38" s="70"/>
      <c r="C38" s="70" t="s">
        <v>36</v>
      </c>
      <c r="D38" s="70"/>
      <c r="E38" s="70"/>
      <c r="F38" s="1"/>
      <c r="G38" s="1"/>
      <c r="H38" s="1"/>
      <c r="I38" s="2"/>
      <c r="J38" s="76"/>
      <c r="K38" s="76"/>
      <c r="L38" s="76"/>
    </row>
    <row r="39" spans="1:14" x14ac:dyDescent="0.25">
      <c r="A39" s="70"/>
      <c r="B39" s="70"/>
      <c r="C39" s="70"/>
      <c r="D39" s="70" t="s">
        <v>37</v>
      </c>
      <c r="E39" s="70"/>
      <c r="F39" s="1"/>
      <c r="G39" s="1"/>
      <c r="H39" s="1"/>
      <c r="I39" s="2"/>
      <c r="J39" s="76"/>
      <c r="K39" s="76"/>
      <c r="L39" s="76"/>
    </row>
    <row r="40" spans="1:14" x14ac:dyDescent="0.25">
      <c r="A40" s="70"/>
      <c r="B40" s="70"/>
      <c r="C40" s="70"/>
      <c r="D40" s="70"/>
      <c r="E40" s="70" t="s">
        <v>38</v>
      </c>
      <c r="F40" s="1">
        <v>6029.11</v>
      </c>
      <c r="G40" s="1">
        <v>12250</v>
      </c>
      <c r="H40" s="1">
        <f t="shared" ref="H40:H45" si="9">ROUND((F40-G40),5)</f>
        <v>-6220.89</v>
      </c>
      <c r="I40" s="2">
        <f t="shared" ref="I40:I45" si="10">ROUND(IF(G40=0, IF(F40=0, 0, 1), F40/G40),5)</f>
        <v>0.49217</v>
      </c>
      <c r="J40" s="76">
        <v>-1250</v>
      </c>
      <c r="K40" s="76">
        <f t="shared" ref="K40:K97" si="11">G40+J40</f>
        <v>11000</v>
      </c>
      <c r="L40" s="76">
        <v>11550</v>
      </c>
    </row>
    <row r="41" spans="1:14" ht="15.75" thickBot="1" x14ac:dyDescent="0.3">
      <c r="A41" s="70"/>
      <c r="B41" s="70"/>
      <c r="C41" s="70"/>
      <c r="D41" s="70"/>
      <c r="E41" s="70" t="s">
        <v>39</v>
      </c>
      <c r="F41" s="3">
        <v>61444.1</v>
      </c>
      <c r="G41" s="3">
        <v>107000</v>
      </c>
      <c r="H41" s="3">
        <f t="shared" si="9"/>
        <v>-45555.9</v>
      </c>
      <c r="I41" s="4">
        <f t="shared" si="10"/>
        <v>0.57423999999999997</v>
      </c>
      <c r="J41" s="76">
        <v>7000</v>
      </c>
      <c r="K41" s="76">
        <f t="shared" si="11"/>
        <v>114000</v>
      </c>
      <c r="L41" s="76">
        <v>114300</v>
      </c>
    </row>
    <row r="42" spans="1:14" x14ac:dyDescent="0.25">
      <c r="A42" s="70"/>
      <c r="B42" s="70"/>
      <c r="C42" s="70"/>
      <c r="D42" s="70"/>
      <c r="E42" s="70"/>
      <c r="F42" s="1"/>
      <c r="G42" s="1"/>
      <c r="H42" s="1"/>
      <c r="I42" s="2"/>
      <c r="J42" s="76"/>
      <c r="K42" s="76"/>
      <c r="L42" s="148"/>
    </row>
    <row r="43" spans="1:14" x14ac:dyDescent="0.25">
      <c r="A43" s="70"/>
      <c r="B43" s="70"/>
      <c r="C43" s="70"/>
      <c r="D43" s="70"/>
      <c r="E43" s="70"/>
      <c r="F43" s="1"/>
      <c r="G43" s="1"/>
      <c r="H43" s="1"/>
      <c r="I43" s="2"/>
      <c r="J43" s="76"/>
      <c r="K43" s="76"/>
      <c r="L43" s="76"/>
    </row>
    <row r="44" spans="1:14" ht="15.75" thickBot="1" x14ac:dyDescent="0.3">
      <c r="A44" s="70"/>
      <c r="B44" s="70"/>
      <c r="C44" s="70"/>
      <c r="D44" s="70" t="s">
        <v>40</v>
      </c>
      <c r="E44" s="70"/>
      <c r="F44" s="3">
        <v>115.4</v>
      </c>
      <c r="G44" s="3">
        <v>700</v>
      </c>
      <c r="H44" s="3">
        <f t="shared" si="9"/>
        <v>-584.6</v>
      </c>
      <c r="I44" s="4">
        <f t="shared" si="10"/>
        <v>0.16486000000000001</v>
      </c>
      <c r="J44" s="76"/>
      <c r="K44" s="76">
        <f t="shared" si="11"/>
        <v>700</v>
      </c>
      <c r="L44" s="76">
        <v>700</v>
      </c>
    </row>
    <row r="45" spans="1:14" x14ac:dyDescent="0.25">
      <c r="A45" s="70"/>
      <c r="B45" s="70"/>
      <c r="C45" s="70" t="s">
        <v>41</v>
      </c>
      <c r="D45" s="70"/>
      <c r="E45" s="70"/>
      <c r="F45" s="1">
        <f>ROUND(F38+SUM(F42:F44),5)</f>
        <v>115.4</v>
      </c>
      <c r="G45" s="1">
        <f>ROUND(G38+SUM(G42:G44),5)</f>
        <v>700</v>
      </c>
      <c r="H45" s="1">
        <f t="shared" si="9"/>
        <v>-584.6</v>
      </c>
      <c r="I45" s="2">
        <f t="shared" si="10"/>
        <v>0.16486000000000001</v>
      </c>
      <c r="J45" s="76"/>
      <c r="K45" s="76"/>
      <c r="L45" s="148"/>
    </row>
    <row r="46" spans="1:14" s="63" customFormat="1" x14ac:dyDescent="0.25">
      <c r="A46" s="73"/>
      <c r="B46" s="73"/>
      <c r="C46" s="73" t="s">
        <v>42</v>
      </c>
      <c r="D46" s="73"/>
      <c r="E46" s="73"/>
      <c r="F46" s="61"/>
      <c r="G46" s="61"/>
      <c r="H46" s="61"/>
      <c r="I46" s="62"/>
      <c r="J46" s="77"/>
      <c r="K46" s="77"/>
      <c r="L46" s="77"/>
    </row>
    <row r="47" spans="1:14" x14ac:dyDescent="0.25">
      <c r="A47" s="70"/>
      <c r="B47" s="70"/>
      <c r="C47" s="70"/>
      <c r="D47" s="70" t="s">
        <v>43</v>
      </c>
      <c r="E47" s="70"/>
      <c r="F47" s="1">
        <v>49392.83</v>
      </c>
      <c r="G47" s="1">
        <v>81000</v>
      </c>
      <c r="H47" s="1">
        <f>ROUND((F47-G47),5)</f>
        <v>-31607.17</v>
      </c>
      <c r="I47" s="2">
        <f>ROUND(IF(G47=0, IF(F47=0, 0, 1), F47/G47),5)</f>
        <v>0.60979000000000005</v>
      </c>
      <c r="J47" s="76"/>
      <c r="K47" s="76">
        <f t="shared" si="11"/>
        <v>81000</v>
      </c>
      <c r="L47" s="76">
        <f>K47*1.05</f>
        <v>85050</v>
      </c>
    </row>
    <row r="48" spans="1:14" x14ac:dyDescent="0.25">
      <c r="A48" s="70"/>
      <c r="B48" s="70"/>
      <c r="C48" s="70"/>
      <c r="D48" s="70" t="s">
        <v>44</v>
      </c>
      <c r="E48" s="70"/>
      <c r="F48" s="1">
        <v>8803.4</v>
      </c>
      <c r="G48" s="1">
        <v>30025</v>
      </c>
      <c r="H48" s="1">
        <f>ROUND((F48-G48),5)</f>
        <v>-21221.599999999999</v>
      </c>
      <c r="I48" s="2">
        <f>ROUND(IF(G48=0, IF(F48=0, 0, 1), F48/G48),5)</f>
        <v>0.29320000000000002</v>
      </c>
      <c r="J48" s="76"/>
      <c r="K48" s="76">
        <f t="shared" si="11"/>
        <v>30025</v>
      </c>
      <c r="L48" s="76">
        <v>31526</v>
      </c>
    </row>
    <row r="49" spans="1:12" x14ac:dyDescent="0.25">
      <c r="A49" s="70"/>
      <c r="B49" s="70"/>
      <c r="C49" s="70"/>
      <c r="D49" s="70" t="s">
        <v>45</v>
      </c>
      <c r="E49" s="70"/>
      <c r="F49" s="1">
        <v>126</v>
      </c>
      <c r="G49" s="1">
        <v>7500</v>
      </c>
      <c r="H49" s="1">
        <f>ROUND((F49-G49),5)</f>
        <v>-7374</v>
      </c>
      <c r="I49" s="2">
        <f>ROUND(IF(G49=0, IF(F49=0, 0, 1), F49/G49),5)</f>
        <v>1.6799999999999999E-2</v>
      </c>
      <c r="J49" s="76">
        <v>1300</v>
      </c>
      <c r="K49" s="76">
        <f t="shared" si="11"/>
        <v>8800</v>
      </c>
      <c r="L49" s="76">
        <f t="shared" ref="L49:L50" si="12">K49*1.05</f>
        <v>9240</v>
      </c>
    </row>
    <row r="50" spans="1:12" ht="15.75" thickBot="1" x14ac:dyDescent="0.3">
      <c r="A50" s="70"/>
      <c r="B50" s="70"/>
      <c r="C50" s="70"/>
      <c r="D50" s="70" t="s">
        <v>46</v>
      </c>
      <c r="E50" s="70"/>
      <c r="F50" s="3">
        <v>0</v>
      </c>
      <c r="G50" s="3">
        <v>3000</v>
      </c>
      <c r="H50" s="3">
        <f>ROUND((F50-G50),5)</f>
        <v>-3000</v>
      </c>
      <c r="I50" s="4">
        <f>ROUND(IF(G50=0, IF(F50=0, 0, 1), F50/G50),5)</f>
        <v>0</v>
      </c>
      <c r="J50" s="76"/>
      <c r="K50" s="76">
        <f t="shared" si="11"/>
        <v>3000</v>
      </c>
      <c r="L50" s="76">
        <f t="shared" si="12"/>
        <v>3150</v>
      </c>
    </row>
    <row r="51" spans="1:12" x14ac:dyDescent="0.25">
      <c r="A51" s="70"/>
      <c r="B51" s="70"/>
      <c r="C51" s="70" t="s">
        <v>47</v>
      </c>
      <c r="D51" s="70"/>
      <c r="E51" s="70"/>
      <c r="F51" s="1">
        <f>ROUND(SUM(F46:F50),5)</f>
        <v>58322.23</v>
      </c>
      <c r="G51" s="1">
        <f>ROUND(SUM(G46:G50),5)</f>
        <v>121525</v>
      </c>
      <c r="H51" s="1">
        <f>ROUND((F51-G51),5)</f>
        <v>-63202.77</v>
      </c>
      <c r="I51" s="2">
        <f>ROUND(IF(G51=0, IF(F51=0, 0, 1), F51/G51),5)</f>
        <v>0.47992000000000001</v>
      </c>
      <c r="J51" s="76"/>
      <c r="K51" s="76"/>
      <c r="L51" s="76"/>
    </row>
    <row r="52" spans="1:12" x14ac:dyDescent="0.25">
      <c r="A52" s="70"/>
      <c r="B52" s="70"/>
      <c r="C52" s="70" t="s">
        <v>48</v>
      </c>
      <c r="D52" s="70"/>
      <c r="E52" s="70"/>
      <c r="F52" s="1"/>
      <c r="G52" s="1"/>
      <c r="H52" s="1"/>
      <c r="I52" s="2"/>
      <c r="J52" s="76"/>
      <c r="K52" s="76"/>
      <c r="L52" s="76"/>
    </row>
    <row r="53" spans="1:12" x14ac:dyDescent="0.25">
      <c r="A53" s="70"/>
      <c r="B53" s="70"/>
      <c r="C53" s="70"/>
      <c r="D53" s="70" t="s">
        <v>49</v>
      </c>
      <c r="E53" s="70"/>
      <c r="F53" s="1">
        <v>0</v>
      </c>
      <c r="G53" s="1">
        <v>100</v>
      </c>
      <c r="H53" s="1">
        <f t="shared" ref="H53:H63" si="13">ROUND((F53-G53),5)</f>
        <v>-100</v>
      </c>
      <c r="I53" s="2">
        <f t="shared" ref="I53:I63" si="14">ROUND(IF(G53=0, IF(F53=0, 0, 1), F53/G53),5)</f>
        <v>0</v>
      </c>
      <c r="J53" s="76"/>
      <c r="K53" s="76">
        <f t="shared" si="11"/>
        <v>100</v>
      </c>
      <c r="L53" s="76">
        <v>100</v>
      </c>
    </row>
    <row r="54" spans="1:12" s="63" customFormat="1" x14ac:dyDescent="0.25">
      <c r="A54" s="73"/>
      <c r="B54" s="73"/>
      <c r="C54" s="73"/>
      <c r="D54" s="73" t="s">
        <v>50</v>
      </c>
      <c r="E54" s="73"/>
      <c r="F54" s="61">
        <v>7886.01</v>
      </c>
      <c r="G54" s="61">
        <v>5000</v>
      </c>
      <c r="H54" s="61">
        <f t="shared" si="13"/>
        <v>2886.01</v>
      </c>
      <c r="I54" s="62">
        <f t="shared" si="14"/>
        <v>1.5771999999999999</v>
      </c>
      <c r="J54" s="77">
        <v>10000</v>
      </c>
      <c r="K54" s="77">
        <f t="shared" si="11"/>
        <v>15000</v>
      </c>
      <c r="L54" s="77">
        <f t="shared" ref="L54" si="15">K54*1.03</f>
        <v>15450</v>
      </c>
    </row>
    <row r="55" spans="1:12" x14ac:dyDescent="0.25">
      <c r="A55" s="70"/>
      <c r="B55" s="70"/>
      <c r="C55" s="70"/>
      <c r="D55" s="70" t="s">
        <v>51</v>
      </c>
      <c r="E55" s="70"/>
      <c r="F55" s="1">
        <v>3714.8</v>
      </c>
      <c r="G55" s="1">
        <v>6000</v>
      </c>
      <c r="H55" s="1">
        <f t="shared" si="13"/>
        <v>-2285.1999999999998</v>
      </c>
      <c r="I55" s="2">
        <f t="shared" si="14"/>
        <v>0.61912999999999996</v>
      </c>
      <c r="J55" s="76">
        <v>1000</v>
      </c>
      <c r="K55" s="76">
        <f t="shared" si="11"/>
        <v>7000</v>
      </c>
      <c r="L55" s="76">
        <f>K55*1.03</f>
        <v>7210</v>
      </c>
    </row>
    <row r="56" spans="1:12" x14ac:dyDescent="0.25">
      <c r="A56" s="70"/>
      <c r="B56" s="70"/>
      <c r="C56" s="70"/>
      <c r="D56" s="70" t="s">
        <v>52</v>
      </c>
      <c r="E56" s="70"/>
      <c r="F56" s="1">
        <v>2000</v>
      </c>
      <c r="G56" s="1">
        <v>6500</v>
      </c>
      <c r="H56" s="1">
        <f t="shared" si="13"/>
        <v>-4500</v>
      </c>
      <c r="I56" s="2">
        <f t="shared" si="14"/>
        <v>0.30769000000000002</v>
      </c>
      <c r="J56" s="76"/>
      <c r="K56" s="76">
        <f t="shared" si="11"/>
        <v>6500</v>
      </c>
      <c r="L56" s="76">
        <v>6500</v>
      </c>
    </row>
    <row r="57" spans="1:12" x14ac:dyDescent="0.25">
      <c r="A57" s="70"/>
      <c r="B57" s="70"/>
      <c r="C57" s="70"/>
      <c r="D57" s="70" t="s">
        <v>53</v>
      </c>
      <c r="E57" s="70"/>
      <c r="F57" s="1">
        <v>3400</v>
      </c>
      <c r="G57" s="1">
        <v>5000</v>
      </c>
      <c r="H57" s="1">
        <f t="shared" si="13"/>
        <v>-1600</v>
      </c>
      <c r="I57" s="2">
        <f t="shared" si="14"/>
        <v>0.68</v>
      </c>
      <c r="J57" s="76">
        <v>2500</v>
      </c>
      <c r="K57" s="76">
        <f t="shared" si="11"/>
        <v>7500</v>
      </c>
      <c r="L57" s="76">
        <v>10500</v>
      </c>
    </row>
    <row r="58" spans="1:12" x14ac:dyDescent="0.25">
      <c r="A58" s="70"/>
      <c r="B58" s="70"/>
      <c r="C58" s="70"/>
      <c r="D58" s="70" t="s">
        <v>54</v>
      </c>
      <c r="E58" s="70"/>
      <c r="F58" s="1">
        <v>2000</v>
      </c>
      <c r="G58" s="1">
        <v>2000</v>
      </c>
      <c r="H58" s="1">
        <f t="shared" si="13"/>
        <v>0</v>
      </c>
      <c r="I58" s="2">
        <f t="shared" si="14"/>
        <v>1</v>
      </c>
      <c r="J58" s="76"/>
      <c r="K58" s="76">
        <f t="shared" si="11"/>
        <v>2000</v>
      </c>
      <c r="L58" s="76">
        <v>2000</v>
      </c>
    </row>
    <row r="59" spans="1:12" x14ac:dyDescent="0.25">
      <c r="A59" s="70"/>
      <c r="B59" s="70"/>
      <c r="C59" s="70"/>
      <c r="D59" s="70" t="s">
        <v>55</v>
      </c>
      <c r="E59" s="70"/>
      <c r="F59" s="1">
        <v>5990</v>
      </c>
      <c r="G59" s="1">
        <v>7000</v>
      </c>
      <c r="H59" s="1">
        <f t="shared" si="13"/>
        <v>-1010</v>
      </c>
      <c r="I59" s="2">
        <f t="shared" si="14"/>
        <v>0.85570999999999997</v>
      </c>
      <c r="J59" s="76"/>
      <c r="K59" s="76">
        <f t="shared" si="11"/>
        <v>7000</v>
      </c>
      <c r="L59" s="76">
        <v>10000</v>
      </c>
    </row>
    <row r="60" spans="1:12" x14ac:dyDescent="0.25">
      <c r="A60" s="70"/>
      <c r="B60" s="70"/>
      <c r="C60" s="70"/>
      <c r="D60" s="70" t="s">
        <v>56</v>
      </c>
      <c r="E60" s="70"/>
      <c r="F60" s="1">
        <v>5131.88</v>
      </c>
      <c r="G60" s="1">
        <v>4000</v>
      </c>
      <c r="H60" s="1">
        <f t="shared" si="13"/>
        <v>1131.8800000000001</v>
      </c>
      <c r="I60" s="2">
        <f t="shared" si="14"/>
        <v>1.2829699999999999</v>
      </c>
      <c r="J60" s="76">
        <v>6000</v>
      </c>
      <c r="K60" s="76">
        <f t="shared" si="11"/>
        <v>10000</v>
      </c>
      <c r="L60" s="76">
        <v>10000</v>
      </c>
    </row>
    <row r="61" spans="1:12" x14ac:dyDescent="0.25">
      <c r="A61" s="70"/>
      <c r="B61" s="70"/>
      <c r="C61" s="70"/>
      <c r="D61" s="70" t="s">
        <v>57</v>
      </c>
      <c r="E61" s="70"/>
      <c r="F61" s="1">
        <v>4900</v>
      </c>
      <c r="G61" s="1">
        <v>5000</v>
      </c>
      <c r="H61" s="1">
        <f t="shared" si="13"/>
        <v>-100</v>
      </c>
      <c r="I61" s="2">
        <f t="shared" si="14"/>
        <v>0.98</v>
      </c>
      <c r="J61" s="76"/>
      <c r="K61" s="76">
        <f t="shared" si="11"/>
        <v>5000</v>
      </c>
      <c r="L61" s="76">
        <v>5000</v>
      </c>
    </row>
    <row r="62" spans="1:12" ht="15.75" thickBot="1" x14ac:dyDescent="0.3">
      <c r="A62" s="70"/>
      <c r="B62" s="70"/>
      <c r="C62" s="70"/>
      <c r="D62" s="70" t="s">
        <v>58</v>
      </c>
      <c r="E62" s="70"/>
      <c r="F62" s="3">
        <v>0</v>
      </c>
      <c r="G62" s="3">
        <v>2000</v>
      </c>
      <c r="H62" s="3">
        <f t="shared" si="13"/>
        <v>-2000</v>
      </c>
      <c r="I62" s="4">
        <f t="shared" si="14"/>
        <v>0</v>
      </c>
      <c r="J62" s="76"/>
      <c r="K62" s="76">
        <f t="shared" si="11"/>
        <v>2000</v>
      </c>
      <c r="L62" s="76">
        <v>2000</v>
      </c>
    </row>
    <row r="63" spans="1:12" x14ac:dyDescent="0.25">
      <c r="A63" s="70"/>
      <c r="B63" s="70"/>
      <c r="C63" s="70" t="s">
        <v>59</v>
      </c>
      <c r="D63" s="70"/>
      <c r="E63" s="70"/>
      <c r="F63" s="1">
        <f>ROUND(SUM(F52:F62),5)</f>
        <v>35022.69</v>
      </c>
      <c r="G63" s="1">
        <f>ROUND(SUM(G52:G62),5)</f>
        <v>42600</v>
      </c>
      <c r="H63" s="1">
        <f t="shared" si="13"/>
        <v>-7577.31</v>
      </c>
      <c r="I63" s="2">
        <f t="shared" si="14"/>
        <v>0.82213000000000003</v>
      </c>
      <c r="J63" s="76"/>
      <c r="K63" s="76"/>
      <c r="L63" s="76"/>
    </row>
    <row r="64" spans="1:12" x14ac:dyDescent="0.25">
      <c r="A64" s="70"/>
      <c r="B64" s="70"/>
      <c r="C64" s="70" t="s">
        <v>60</v>
      </c>
      <c r="D64" s="70"/>
      <c r="E64" s="70"/>
      <c r="F64" s="1"/>
      <c r="G64" s="1"/>
      <c r="H64" s="1"/>
      <c r="I64" s="2"/>
      <c r="J64" s="76"/>
      <c r="K64" s="76"/>
      <c r="L64" s="76"/>
    </row>
    <row r="65" spans="1:13" x14ac:dyDescent="0.25">
      <c r="A65" s="70"/>
      <c r="B65" s="70"/>
      <c r="C65" s="70"/>
      <c r="D65" s="70" t="s">
        <v>61</v>
      </c>
      <c r="E65" s="70"/>
      <c r="F65" s="1">
        <v>0</v>
      </c>
      <c r="G65" s="1">
        <v>500</v>
      </c>
      <c r="H65" s="1">
        <f t="shared" ref="H65:H76" si="16">ROUND((F65-G65),5)</f>
        <v>-500</v>
      </c>
      <c r="I65" s="2">
        <f t="shared" ref="I65:I76" si="17">ROUND(IF(G65=0, IF(F65=0, 0, 1), F65/G65),5)</f>
        <v>0</v>
      </c>
      <c r="J65" s="76">
        <v>-500</v>
      </c>
      <c r="K65" s="76">
        <f t="shared" si="11"/>
        <v>0</v>
      </c>
      <c r="L65" s="76"/>
    </row>
    <row r="66" spans="1:13" x14ac:dyDescent="0.25">
      <c r="A66" s="70"/>
      <c r="B66" s="70"/>
      <c r="C66" s="70"/>
      <c r="D66" s="70" t="s">
        <v>62</v>
      </c>
      <c r="E66" s="70"/>
      <c r="F66" s="1">
        <v>727</v>
      </c>
      <c r="G66" s="1">
        <v>1000</v>
      </c>
      <c r="H66" s="1">
        <f t="shared" si="16"/>
        <v>-273</v>
      </c>
      <c r="I66" s="2">
        <f t="shared" si="17"/>
        <v>0.72699999999999998</v>
      </c>
      <c r="J66" s="76">
        <v>500</v>
      </c>
      <c r="K66" s="76">
        <f t="shared" si="11"/>
        <v>1500</v>
      </c>
      <c r="L66" s="76">
        <v>1500</v>
      </c>
    </row>
    <row r="67" spans="1:13" x14ac:dyDescent="0.25">
      <c r="A67" s="70"/>
      <c r="B67" s="70"/>
      <c r="C67" s="70"/>
      <c r="D67" s="70" t="s">
        <v>63</v>
      </c>
      <c r="E67" s="70"/>
      <c r="F67" s="1">
        <v>11385.32</v>
      </c>
      <c r="G67" s="1">
        <v>30800</v>
      </c>
      <c r="H67" s="1">
        <f t="shared" si="16"/>
        <v>-19414.68</v>
      </c>
      <c r="I67" s="2">
        <f t="shared" si="17"/>
        <v>0.36964999999999998</v>
      </c>
      <c r="J67" s="76">
        <v>-5800</v>
      </c>
      <c r="K67" s="76">
        <f t="shared" si="11"/>
        <v>25000</v>
      </c>
      <c r="L67" s="76">
        <f>K67*1.03</f>
        <v>25750</v>
      </c>
    </row>
    <row r="68" spans="1:13" x14ac:dyDescent="0.25">
      <c r="A68" s="70"/>
      <c r="B68" s="70"/>
      <c r="C68" s="70"/>
      <c r="D68" s="70" t="s">
        <v>64</v>
      </c>
      <c r="E68" s="70"/>
      <c r="F68" s="1">
        <v>2504.9499999999998</v>
      </c>
      <c r="G68" s="1">
        <v>7500</v>
      </c>
      <c r="H68" s="1">
        <f t="shared" si="16"/>
        <v>-4995.05</v>
      </c>
      <c r="I68" s="2">
        <f t="shared" si="17"/>
        <v>0.33399000000000001</v>
      </c>
      <c r="J68" s="76"/>
      <c r="K68" s="76">
        <f t="shared" si="11"/>
        <v>7500</v>
      </c>
      <c r="L68" s="76">
        <v>7500</v>
      </c>
    </row>
    <row r="69" spans="1:13" x14ac:dyDescent="0.25">
      <c r="A69" s="70"/>
      <c r="B69" s="70"/>
      <c r="C69" s="70"/>
      <c r="D69" s="70" t="s">
        <v>65</v>
      </c>
      <c r="E69" s="70"/>
      <c r="F69" s="1">
        <v>7368.64</v>
      </c>
      <c r="G69" s="1">
        <v>13500</v>
      </c>
      <c r="H69" s="1">
        <f t="shared" si="16"/>
        <v>-6131.36</v>
      </c>
      <c r="I69" s="2">
        <f t="shared" si="17"/>
        <v>0.54583000000000004</v>
      </c>
      <c r="J69" s="76"/>
      <c r="K69" s="76">
        <f t="shared" si="11"/>
        <v>13500</v>
      </c>
      <c r="L69" s="76">
        <v>13500</v>
      </c>
    </row>
    <row r="70" spans="1:13" x14ac:dyDescent="0.25">
      <c r="A70" s="70"/>
      <c r="B70" s="70"/>
      <c r="C70" s="70"/>
      <c r="D70" s="70" t="s">
        <v>66</v>
      </c>
      <c r="E70" s="70"/>
      <c r="F70" s="1">
        <v>4381.38</v>
      </c>
      <c r="G70" s="1">
        <v>3500</v>
      </c>
      <c r="H70" s="1">
        <f t="shared" si="16"/>
        <v>881.38</v>
      </c>
      <c r="I70" s="2">
        <f t="shared" si="17"/>
        <v>1.2518199999999999</v>
      </c>
      <c r="J70" s="76">
        <v>3500</v>
      </c>
      <c r="K70" s="76">
        <f t="shared" si="11"/>
        <v>7000</v>
      </c>
      <c r="L70" s="76">
        <v>7000</v>
      </c>
    </row>
    <row r="71" spans="1:13" x14ac:dyDescent="0.25">
      <c r="A71" s="70"/>
      <c r="B71" s="70"/>
      <c r="C71" s="70"/>
      <c r="D71" s="70" t="s">
        <v>67</v>
      </c>
      <c r="E71" s="70"/>
      <c r="F71" s="1">
        <v>4826.1899999999996</v>
      </c>
      <c r="G71" s="1">
        <v>6500</v>
      </c>
      <c r="H71" s="1">
        <f t="shared" si="16"/>
        <v>-1673.81</v>
      </c>
      <c r="I71" s="2">
        <f t="shared" si="17"/>
        <v>0.74248999999999998</v>
      </c>
      <c r="J71" s="76"/>
      <c r="K71" s="76">
        <f t="shared" si="11"/>
        <v>6500</v>
      </c>
      <c r="L71" s="76">
        <v>6500</v>
      </c>
    </row>
    <row r="72" spans="1:13" x14ac:dyDescent="0.25">
      <c r="A72" s="70"/>
      <c r="B72" s="70"/>
      <c r="C72" s="70"/>
      <c r="D72" s="70" t="s">
        <v>68</v>
      </c>
      <c r="E72" s="70"/>
      <c r="F72" s="1">
        <v>10883.19</v>
      </c>
      <c r="G72" s="1">
        <v>8900</v>
      </c>
      <c r="H72" s="1">
        <f t="shared" si="16"/>
        <v>1983.19</v>
      </c>
      <c r="I72" s="2">
        <f t="shared" si="17"/>
        <v>1.2228300000000001</v>
      </c>
      <c r="J72" s="76">
        <v>21100</v>
      </c>
      <c r="K72" s="76">
        <f t="shared" si="11"/>
        <v>30000</v>
      </c>
      <c r="L72" s="76">
        <v>10000</v>
      </c>
    </row>
    <row r="73" spans="1:13" x14ac:dyDescent="0.25">
      <c r="A73" s="70"/>
      <c r="B73" s="70"/>
      <c r="C73" s="70"/>
      <c r="D73" s="70" t="s">
        <v>69</v>
      </c>
      <c r="E73" s="70"/>
      <c r="F73" s="1">
        <v>0</v>
      </c>
      <c r="G73" s="1">
        <v>500</v>
      </c>
      <c r="H73" s="1">
        <f t="shared" si="16"/>
        <v>-500</v>
      </c>
      <c r="I73" s="2">
        <f t="shared" si="17"/>
        <v>0</v>
      </c>
      <c r="J73" s="76">
        <v>1500</v>
      </c>
      <c r="K73" s="76">
        <f t="shared" si="11"/>
        <v>2000</v>
      </c>
      <c r="L73" s="76">
        <v>2000</v>
      </c>
    </row>
    <row r="74" spans="1:13" x14ac:dyDescent="0.25">
      <c r="A74" s="70"/>
      <c r="B74" s="70"/>
      <c r="C74" s="70"/>
      <c r="D74" s="70" t="s">
        <v>70</v>
      </c>
      <c r="E74" s="70"/>
      <c r="F74" s="1">
        <v>9727</v>
      </c>
      <c r="G74" s="1">
        <v>5000</v>
      </c>
      <c r="H74" s="1">
        <f t="shared" si="16"/>
        <v>4727</v>
      </c>
      <c r="I74" s="2">
        <f t="shared" si="17"/>
        <v>1.9454</v>
      </c>
      <c r="J74" s="76">
        <v>7500</v>
      </c>
      <c r="K74" s="76">
        <f t="shared" si="11"/>
        <v>12500</v>
      </c>
      <c r="L74" s="76">
        <v>12500</v>
      </c>
    </row>
    <row r="75" spans="1:13" x14ac:dyDescent="0.25">
      <c r="A75" s="70"/>
      <c r="B75" s="70"/>
      <c r="C75" s="70"/>
      <c r="D75" s="70" t="s">
        <v>71</v>
      </c>
      <c r="E75" s="70"/>
      <c r="F75" s="1">
        <v>1238.3499999999999</v>
      </c>
      <c r="G75" s="1">
        <v>2000</v>
      </c>
      <c r="H75" s="1">
        <f t="shared" si="16"/>
        <v>-761.65</v>
      </c>
      <c r="I75" s="2">
        <f t="shared" si="17"/>
        <v>0.61917999999999995</v>
      </c>
      <c r="J75" s="76">
        <v>500</v>
      </c>
      <c r="K75" s="76">
        <f t="shared" si="11"/>
        <v>2500</v>
      </c>
      <c r="L75" s="76">
        <v>2000</v>
      </c>
    </row>
    <row r="76" spans="1:13" x14ac:dyDescent="0.25">
      <c r="A76" s="70"/>
      <c r="B76" s="70"/>
      <c r="C76" s="70"/>
      <c r="D76" s="70" t="s">
        <v>72</v>
      </c>
      <c r="E76" s="70"/>
      <c r="F76" s="1">
        <v>50</v>
      </c>
      <c r="G76" s="1">
        <v>2000</v>
      </c>
      <c r="H76" s="1">
        <f t="shared" si="16"/>
        <v>-1950</v>
      </c>
      <c r="I76" s="2">
        <f t="shared" si="17"/>
        <v>2.5000000000000001E-2</v>
      </c>
      <c r="J76" s="76"/>
      <c r="K76" s="76">
        <f t="shared" si="11"/>
        <v>2000</v>
      </c>
      <c r="L76" s="76">
        <v>2000</v>
      </c>
    </row>
    <row r="77" spans="1:13" ht="15.75" thickBot="1" x14ac:dyDescent="0.3">
      <c r="A77" s="70"/>
      <c r="B77" s="70"/>
      <c r="C77" s="70"/>
      <c r="D77" s="73" t="s">
        <v>73</v>
      </c>
      <c r="E77" s="73"/>
      <c r="F77" s="144">
        <v>4066.39</v>
      </c>
      <c r="G77" s="144">
        <v>182591</v>
      </c>
      <c r="H77" s="144">
        <f>ROUND((F77-G77),5)</f>
        <v>-178524.61</v>
      </c>
      <c r="I77" s="145">
        <f>ROUND(IF(G77=0, IF(F77=0, 0, 1), F77/G77),5)</f>
        <v>2.2270000000000002E-2</v>
      </c>
      <c r="J77" s="77">
        <v>36386</v>
      </c>
      <c r="K77" s="77">
        <v>218977</v>
      </c>
      <c r="L77" s="77">
        <v>74189</v>
      </c>
      <c r="M77" s="63"/>
    </row>
    <row r="78" spans="1:13" x14ac:dyDescent="0.25">
      <c r="A78" s="70"/>
      <c r="B78" s="70"/>
      <c r="C78" s="70" t="s">
        <v>74</v>
      </c>
      <c r="D78" s="70"/>
      <c r="E78" s="70"/>
      <c r="F78" s="1">
        <f>ROUND(SUM(F64:F77),5)</f>
        <v>57158.41</v>
      </c>
      <c r="G78" s="1">
        <f>ROUND(SUM(G64:G77),5)</f>
        <v>264291</v>
      </c>
      <c r="H78" s="1">
        <f>ROUND((F78-G78),5)</f>
        <v>-207132.59</v>
      </c>
      <c r="I78" s="2">
        <f>ROUND(IF(G78=0, IF(F78=0, 0, 1), F78/G78),5)</f>
        <v>0.21626999999999999</v>
      </c>
      <c r="J78" s="76"/>
      <c r="K78" s="76"/>
      <c r="L78" s="76"/>
    </row>
    <row r="79" spans="1:13" x14ac:dyDescent="0.25">
      <c r="A79" s="70"/>
      <c r="B79" s="70"/>
      <c r="C79" s="70" t="s">
        <v>75</v>
      </c>
      <c r="D79" s="70"/>
      <c r="E79" s="70"/>
      <c r="F79" s="1"/>
      <c r="G79" s="1"/>
      <c r="H79" s="1"/>
      <c r="I79" s="2"/>
      <c r="J79" s="76"/>
      <c r="K79" s="76"/>
      <c r="L79" s="76"/>
    </row>
    <row r="80" spans="1:13" x14ac:dyDescent="0.25">
      <c r="A80" s="70"/>
      <c r="B80" s="70"/>
      <c r="C80" s="70"/>
      <c r="D80" s="70" t="s">
        <v>76</v>
      </c>
      <c r="E80" s="70"/>
      <c r="F80" s="1">
        <v>37160.589999999997</v>
      </c>
      <c r="G80" s="1">
        <v>100000</v>
      </c>
      <c r="H80" s="1">
        <f>ROUND((F80-G80),5)</f>
        <v>-62839.41</v>
      </c>
      <c r="I80" s="2">
        <f>ROUND(IF(G80=0, IF(F80=0, 0, 1), F80/G80),5)</f>
        <v>0.37161</v>
      </c>
      <c r="J80" s="76">
        <v>-25000</v>
      </c>
      <c r="K80" s="76">
        <f t="shared" si="11"/>
        <v>75000</v>
      </c>
      <c r="L80" s="76">
        <v>90000</v>
      </c>
    </row>
    <row r="81" spans="1:12" x14ac:dyDescent="0.25">
      <c r="A81" s="70"/>
      <c r="B81" s="70"/>
      <c r="C81" s="70"/>
      <c r="D81" s="70" t="s">
        <v>77</v>
      </c>
      <c r="E81" s="70"/>
      <c r="F81" s="1">
        <v>14257.51</v>
      </c>
      <c r="G81" s="1">
        <v>70000</v>
      </c>
      <c r="H81" s="1">
        <f>ROUND((F81-G81),5)</f>
        <v>-55742.49</v>
      </c>
      <c r="I81" s="2">
        <f>ROUND(IF(G81=0, IF(F81=0, 0, 1), F81/G81),5)</f>
        <v>0.20368</v>
      </c>
      <c r="J81" s="76">
        <v>-20000</v>
      </c>
      <c r="K81" s="76">
        <f t="shared" si="11"/>
        <v>50000</v>
      </c>
      <c r="L81" s="76">
        <v>60000</v>
      </c>
    </row>
    <row r="82" spans="1:12" ht="15.75" thickBot="1" x14ac:dyDescent="0.3">
      <c r="A82" s="70"/>
      <c r="B82" s="70"/>
      <c r="C82" s="70"/>
      <c r="D82" s="70" t="s">
        <v>78</v>
      </c>
      <c r="E82" s="70"/>
      <c r="F82" s="3">
        <v>28686.29</v>
      </c>
      <c r="G82" s="3">
        <v>55000</v>
      </c>
      <c r="H82" s="3">
        <f>ROUND((F82-G82),5)</f>
        <v>-26313.71</v>
      </c>
      <c r="I82" s="4">
        <f>ROUND(IF(G82=0, IF(F82=0, 0, 1), F82/G82),5)</f>
        <v>0.52156999999999998</v>
      </c>
      <c r="J82" s="76"/>
      <c r="K82" s="76">
        <f t="shared" si="11"/>
        <v>55000</v>
      </c>
      <c r="L82" s="76">
        <v>55000</v>
      </c>
    </row>
    <row r="83" spans="1:12" x14ac:dyDescent="0.25">
      <c r="A83" s="70"/>
      <c r="B83" s="70"/>
      <c r="C83" s="70" t="s">
        <v>79</v>
      </c>
      <c r="D83" s="70"/>
      <c r="E83" s="70"/>
      <c r="F83" s="1">
        <f>ROUND(SUM(F79:F82),5)</f>
        <v>80104.39</v>
      </c>
      <c r="G83" s="1">
        <f>ROUND(SUM(G79:G82),5)</f>
        <v>225000</v>
      </c>
      <c r="H83" s="1">
        <f>ROUND((F83-G83),5)</f>
        <v>-144895.60999999999</v>
      </c>
      <c r="I83" s="2">
        <f>ROUND(IF(G83=0, IF(F83=0, 0, 1), F83/G83),5)</f>
        <v>0.35602</v>
      </c>
      <c r="J83" s="76"/>
      <c r="K83" s="76"/>
      <c r="L83" s="76"/>
    </row>
    <row r="84" spans="1:12" x14ac:dyDescent="0.25">
      <c r="A84" s="70"/>
      <c r="B84" s="70"/>
      <c r="C84" s="70" t="s">
        <v>80</v>
      </c>
      <c r="D84" s="70"/>
      <c r="E84" s="70"/>
      <c r="F84" s="1"/>
      <c r="G84" s="1"/>
      <c r="H84" s="1"/>
      <c r="I84" s="2"/>
      <c r="J84" s="76"/>
      <c r="K84" s="76"/>
      <c r="L84" s="76"/>
    </row>
    <row r="85" spans="1:12" x14ac:dyDescent="0.25">
      <c r="A85" s="70"/>
      <c r="B85" s="70"/>
      <c r="C85" s="70"/>
      <c r="D85" s="70" t="s">
        <v>81</v>
      </c>
      <c r="E85" s="70"/>
      <c r="F85" s="1"/>
      <c r="G85" s="1"/>
      <c r="H85" s="1"/>
      <c r="I85" s="2"/>
      <c r="J85" s="76"/>
      <c r="K85" s="76"/>
      <c r="L85" s="76"/>
    </row>
    <row r="86" spans="1:12" x14ac:dyDescent="0.25">
      <c r="A86" s="70"/>
      <c r="B86" s="70"/>
      <c r="C86" s="70"/>
      <c r="D86" s="70"/>
      <c r="E86" s="70" t="s">
        <v>82</v>
      </c>
      <c r="F86" s="1">
        <v>28401.56</v>
      </c>
      <c r="G86" s="1">
        <v>62000</v>
      </c>
      <c r="H86" s="1">
        <f t="shared" ref="H86:H92" si="18">ROUND((F86-G86),5)</f>
        <v>-33598.44</v>
      </c>
      <c r="I86" s="2">
        <f t="shared" ref="I86:I92" si="19">ROUND(IF(G86=0, IF(F86=0, 0, 1), F86/G86),5)</f>
        <v>0.45809</v>
      </c>
      <c r="J86" s="76"/>
      <c r="K86" s="76">
        <f t="shared" si="11"/>
        <v>62000</v>
      </c>
      <c r="L86" s="76">
        <v>59000</v>
      </c>
    </row>
    <row r="87" spans="1:12" x14ac:dyDescent="0.25">
      <c r="A87" s="70"/>
      <c r="B87" s="70"/>
      <c r="C87" s="70"/>
      <c r="D87" s="70"/>
      <c r="E87" s="70" t="s">
        <v>83</v>
      </c>
      <c r="F87" s="1">
        <v>96.83</v>
      </c>
      <c r="G87" s="1">
        <v>700</v>
      </c>
      <c r="H87" s="1">
        <f t="shared" si="18"/>
        <v>-603.16999999999996</v>
      </c>
      <c r="I87" s="2">
        <f t="shared" si="19"/>
        <v>0.13833000000000001</v>
      </c>
      <c r="J87" s="76"/>
      <c r="K87" s="76">
        <f t="shared" si="11"/>
        <v>700</v>
      </c>
      <c r="L87" s="76">
        <v>650</v>
      </c>
    </row>
    <row r="88" spans="1:12" ht="15.75" thickBot="1" x14ac:dyDescent="0.3">
      <c r="A88" s="70"/>
      <c r="B88" s="70"/>
      <c r="C88" s="70"/>
      <c r="D88" s="70"/>
      <c r="E88" s="70" t="s">
        <v>84</v>
      </c>
      <c r="F88" s="3">
        <v>-98.5</v>
      </c>
      <c r="G88" s="3">
        <v>6000</v>
      </c>
      <c r="H88" s="3">
        <f t="shared" si="18"/>
        <v>-6098.5</v>
      </c>
      <c r="I88" s="4">
        <f t="shared" si="19"/>
        <v>-1.6420000000000001E-2</v>
      </c>
      <c r="J88" s="76"/>
      <c r="K88" s="76">
        <f t="shared" si="11"/>
        <v>6000</v>
      </c>
      <c r="L88" s="76">
        <v>5600</v>
      </c>
    </row>
    <row r="89" spans="1:12" x14ac:dyDescent="0.25">
      <c r="A89" s="70"/>
      <c r="B89" s="70"/>
      <c r="C89" s="70"/>
      <c r="D89" s="70" t="s">
        <v>85</v>
      </c>
      <c r="E89" s="70"/>
      <c r="F89" s="1">
        <f>ROUND(SUM(F85:F88),5)</f>
        <v>28399.89</v>
      </c>
      <c r="G89" s="1">
        <f>ROUND(SUM(G85:G88),5)</f>
        <v>68700</v>
      </c>
      <c r="H89" s="1">
        <f t="shared" si="18"/>
        <v>-40300.11</v>
      </c>
      <c r="I89" s="2">
        <f t="shared" si="19"/>
        <v>0.41338999999999998</v>
      </c>
      <c r="J89" s="76"/>
      <c r="K89" s="76"/>
      <c r="L89" s="76"/>
    </row>
    <row r="90" spans="1:12" x14ac:dyDescent="0.25">
      <c r="A90" s="70"/>
      <c r="B90" s="70"/>
      <c r="C90" s="70"/>
      <c r="D90" s="70" t="s">
        <v>86</v>
      </c>
      <c r="E90" s="70"/>
      <c r="F90" s="1">
        <v>272654.59999999998</v>
      </c>
      <c r="G90" s="1">
        <v>603000</v>
      </c>
      <c r="H90" s="1">
        <f t="shared" si="18"/>
        <v>-330345.40000000002</v>
      </c>
      <c r="I90" s="2">
        <f t="shared" si="19"/>
        <v>0.45216000000000001</v>
      </c>
      <c r="J90" s="76">
        <v>-80000</v>
      </c>
      <c r="K90" s="76">
        <f t="shared" si="11"/>
        <v>523000</v>
      </c>
      <c r="L90" s="76">
        <v>565000</v>
      </c>
    </row>
    <row r="91" spans="1:12" ht="15.75" thickBot="1" x14ac:dyDescent="0.3">
      <c r="A91" s="70"/>
      <c r="B91" s="70"/>
      <c r="C91" s="70"/>
      <c r="D91" s="70" t="s">
        <v>87</v>
      </c>
      <c r="E91" s="70"/>
      <c r="F91" s="3">
        <v>38503.230000000003</v>
      </c>
      <c r="G91" s="3">
        <v>90000</v>
      </c>
      <c r="H91" s="3">
        <f t="shared" si="18"/>
        <v>-51496.77</v>
      </c>
      <c r="I91" s="4">
        <f t="shared" si="19"/>
        <v>0.42781000000000002</v>
      </c>
      <c r="J91" s="76">
        <v>-19000</v>
      </c>
      <c r="K91" s="76">
        <f t="shared" si="11"/>
        <v>71000</v>
      </c>
      <c r="L91" s="76">
        <v>92000</v>
      </c>
    </row>
    <row r="92" spans="1:12" x14ac:dyDescent="0.25">
      <c r="A92" s="70"/>
      <c r="B92" s="70"/>
      <c r="C92" s="70" t="s">
        <v>88</v>
      </c>
      <c r="D92" s="70"/>
      <c r="E92" s="70"/>
      <c r="F92" s="1">
        <f>ROUND(F84+SUM(F89:F91),5)</f>
        <v>339557.72</v>
      </c>
      <c r="G92" s="1">
        <f>ROUND(G84+SUM(G89:G91),5)</f>
        <v>761700</v>
      </c>
      <c r="H92" s="1">
        <f t="shared" si="18"/>
        <v>-422142.28</v>
      </c>
      <c r="I92" s="2">
        <f t="shared" si="19"/>
        <v>0.44579000000000002</v>
      </c>
      <c r="J92" s="76"/>
      <c r="K92" s="76"/>
      <c r="L92" s="76"/>
    </row>
    <row r="93" spans="1:12" x14ac:dyDescent="0.25">
      <c r="A93" s="70"/>
      <c r="B93" s="70"/>
      <c r="C93" s="70" t="s">
        <v>89</v>
      </c>
      <c r="D93" s="70"/>
      <c r="E93" s="70"/>
      <c r="F93" s="1"/>
      <c r="G93" s="1"/>
      <c r="H93" s="1"/>
      <c r="I93" s="2"/>
      <c r="J93" s="76"/>
      <c r="K93" s="76"/>
      <c r="L93" s="76"/>
    </row>
    <row r="94" spans="1:12" x14ac:dyDescent="0.25">
      <c r="A94" s="70"/>
      <c r="B94" s="70"/>
      <c r="C94" s="70"/>
      <c r="D94" s="70" t="s">
        <v>90</v>
      </c>
      <c r="E94" s="70"/>
      <c r="F94" s="1">
        <v>150</v>
      </c>
      <c r="G94" s="1">
        <v>1500</v>
      </c>
      <c r="H94" s="1">
        <f t="shared" ref="H94:H100" si="20">ROUND((F94-G94),5)</f>
        <v>-1350</v>
      </c>
      <c r="I94" s="2">
        <f t="shared" ref="I94:I100" si="21">ROUND(IF(G94=0, IF(F94=0, 0, 1), F94/G94),5)</f>
        <v>0.1</v>
      </c>
      <c r="J94" s="76">
        <v>-500</v>
      </c>
      <c r="K94" s="76">
        <f t="shared" si="11"/>
        <v>1000</v>
      </c>
      <c r="L94" s="76">
        <v>1000</v>
      </c>
    </row>
    <row r="95" spans="1:12" x14ac:dyDescent="0.25">
      <c r="A95" s="70"/>
      <c r="B95" s="70"/>
      <c r="C95" s="70"/>
      <c r="D95" s="70" t="s">
        <v>91</v>
      </c>
      <c r="E95" s="70"/>
      <c r="F95" s="1">
        <v>0</v>
      </c>
      <c r="G95" s="1">
        <v>650</v>
      </c>
      <c r="H95" s="1">
        <f t="shared" si="20"/>
        <v>-650</v>
      </c>
      <c r="I95" s="2">
        <f t="shared" si="21"/>
        <v>0</v>
      </c>
      <c r="J95" s="76"/>
      <c r="K95" s="76">
        <f t="shared" si="11"/>
        <v>650</v>
      </c>
      <c r="L95" s="76">
        <v>500</v>
      </c>
    </row>
    <row r="96" spans="1:12" x14ac:dyDescent="0.25">
      <c r="A96" s="70"/>
      <c r="B96" s="70"/>
      <c r="C96" s="70"/>
      <c r="D96" s="70" t="s">
        <v>92</v>
      </c>
      <c r="E96" s="70"/>
      <c r="F96" s="1">
        <v>87.65</v>
      </c>
      <c r="G96" s="1">
        <v>100</v>
      </c>
      <c r="H96" s="1">
        <f t="shared" si="20"/>
        <v>-12.35</v>
      </c>
      <c r="I96" s="2">
        <f t="shared" si="21"/>
        <v>0.87649999999999995</v>
      </c>
      <c r="J96" s="76"/>
      <c r="K96" s="76">
        <f t="shared" si="11"/>
        <v>100</v>
      </c>
      <c r="L96" s="76">
        <v>100</v>
      </c>
    </row>
    <row r="97" spans="1:12" ht="15.75" thickBot="1" x14ac:dyDescent="0.3">
      <c r="A97" s="70"/>
      <c r="B97" s="70"/>
      <c r="C97" s="70"/>
      <c r="D97" s="70" t="s">
        <v>93</v>
      </c>
      <c r="E97" s="70"/>
      <c r="F97" s="5">
        <v>100</v>
      </c>
      <c r="G97" s="5">
        <v>5000</v>
      </c>
      <c r="H97" s="5">
        <f t="shared" si="20"/>
        <v>-4900</v>
      </c>
      <c r="I97" s="6">
        <f t="shared" si="21"/>
        <v>0.02</v>
      </c>
      <c r="J97" s="76">
        <v>-4000</v>
      </c>
      <c r="K97" s="76">
        <f t="shared" si="11"/>
        <v>1000</v>
      </c>
      <c r="L97" s="76">
        <v>5000</v>
      </c>
    </row>
    <row r="98" spans="1:12" ht="15.75" thickBot="1" x14ac:dyDescent="0.3">
      <c r="A98" s="70"/>
      <c r="B98" s="70"/>
      <c r="C98" s="70" t="s">
        <v>94</v>
      </c>
      <c r="D98" s="70"/>
      <c r="E98" s="70"/>
      <c r="F98" s="9">
        <f>ROUND(SUM(F93:F97),5)</f>
        <v>337.65</v>
      </c>
      <c r="G98" s="9">
        <f>ROUND(SUM(G93:G97),5)</f>
        <v>7250</v>
      </c>
      <c r="H98" s="9">
        <f t="shared" si="20"/>
        <v>-6912.35</v>
      </c>
      <c r="I98" s="10">
        <f t="shared" si="21"/>
        <v>4.657E-2</v>
      </c>
      <c r="J98" s="76"/>
      <c r="K98" s="76"/>
      <c r="L98" s="76"/>
    </row>
    <row r="99" spans="1:12" ht="15.75" thickBot="1" x14ac:dyDescent="0.3">
      <c r="A99" s="70"/>
      <c r="B99" s="70" t="s">
        <v>95</v>
      </c>
      <c r="C99" s="70"/>
      <c r="D99" s="70"/>
      <c r="E99" s="70"/>
      <c r="F99" s="9">
        <f>ROUND(F37+F45+F51+F63+F78+F83+F92+F98,5)</f>
        <v>570618.49</v>
      </c>
      <c r="G99" s="9">
        <f>ROUND(G37+G45+G51+G63+G78+G83+G92+G98,5)</f>
        <v>1423066</v>
      </c>
      <c r="H99" s="9">
        <f t="shared" si="20"/>
        <v>-852447.51</v>
      </c>
      <c r="I99" s="10">
        <f t="shared" si="21"/>
        <v>0.40098</v>
      </c>
      <c r="J99" s="76"/>
      <c r="K99" s="76"/>
      <c r="L99" s="76"/>
    </row>
    <row r="100" spans="1:12" hidden="1" x14ac:dyDescent="0.25">
      <c r="A100" s="70" t="s">
        <v>96</v>
      </c>
      <c r="B100" s="70"/>
      <c r="C100" s="70"/>
      <c r="D100" s="70"/>
      <c r="E100" s="70"/>
      <c r="F100" s="1" t="e">
        <f>ROUND(#REF!+F35-F99,5)</f>
        <v>#REF!</v>
      </c>
      <c r="G100" s="1" t="e">
        <f>ROUND(#REF!+G35-G99,5)</f>
        <v>#REF!</v>
      </c>
      <c r="H100" s="1" t="e">
        <f t="shared" si="20"/>
        <v>#REF!</v>
      </c>
      <c r="I100" s="2" t="e">
        <f t="shared" si="21"/>
        <v>#REF!</v>
      </c>
      <c r="J100" s="76"/>
      <c r="K100" s="76"/>
      <c r="L100" s="76"/>
    </row>
    <row r="101" spans="1:12" hidden="1" x14ac:dyDescent="0.25">
      <c r="A101" s="70" t="s">
        <v>97</v>
      </c>
      <c r="B101" s="70"/>
      <c r="C101" s="70"/>
      <c r="D101" s="70"/>
      <c r="E101" s="70"/>
      <c r="F101" s="1"/>
      <c r="G101" s="1"/>
      <c r="H101" s="1"/>
      <c r="I101" s="2"/>
      <c r="J101" s="76"/>
      <c r="K101" s="76"/>
      <c r="L101" s="76"/>
    </row>
    <row r="102" spans="1:12" hidden="1" x14ac:dyDescent="0.25">
      <c r="A102" s="70"/>
      <c r="B102" s="70" t="s">
        <v>26</v>
      </c>
      <c r="C102" s="70"/>
      <c r="D102" s="70"/>
      <c r="E102" s="70"/>
      <c r="F102" s="1"/>
      <c r="G102" s="1"/>
      <c r="H102" s="1"/>
      <c r="I102" s="2"/>
      <c r="J102" s="76"/>
      <c r="K102" s="76"/>
      <c r="L102" s="76"/>
    </row>
    <row r="103" spans="1:12" ht="15.75" hidden="1" thickBot="1" x14ac:dyDescent="0.3">
      <c r="A103" s="70"/>
      <c r="B103" s="70"/>
      <c r="C103" s="70" t="s">
        <v>98</v>
      </c>
      <c r="D103" s="70"/>
      <c r="E103" s="70"/>
      <c r="F103" s="3"/>
      <c r="G103" s="1"/>
      <c r="H103" s="1"/>
      <c r="I103" s="2"/>
      <c r="J103" s="76"/>
      <c r="K103" s="76"/>
      <c r="L103" s="76"/>
    </row>
    <row r="104" spans="1:12" hidden="1" x14ac:dyDescent="0.25">
      <c r="A104" s="70"/>
      <c r="B104" s="70" t="s">
        <v>33</v>
      </c>
      <c r="C104" s="70"/>
      <c r="D104" s="70"/>
      <c r="E104" s="70"/>
      <c r="F104" s="1">
        <f>ROUND(SUM(F102:F103),5)</f>
        <v>0</v>
      </c>
      <c r="G104" s="1"/>
      <c r="H104" s="1"/>
      <c r="I104" s="2"/>
      <c r="J104" s="76"/>
      <c r="K104" s="76"/>
      <c r="L104" s="76"/>
    </row>
    <row r="105" spans="1:12" hidden="1" x14ac:dyDescent="0.25">
      <c r="A105" s="70"/>
      <c r="B105" s="70" t="s">
        <v>99</v>
      </c>
      <c r="C105" s="70"/>
      <c r="D105" s="70"/>
      <c r="E105" s="70"/>
      <c r="F105" s="1"/>
      <c r="G105" s="1"/>
      <c r="H105" s="1"/>
      <c r="I105" s="2"/>
      <c r="J105" s="76"/>
      <c r="K105" s="76"/>
      <c r="L105" s="76"/>
    </row>
    <row r="106" spans="1:12" x14ac:dyDescent="0.25">
      <c r="A106" s="70"/>
      <c r="B106" s="70"/>
      <c r="C106" s="70" t="s">
        <v>100</v>
      </c>
      <c r="D106" s="70"/>
      <c r="E106" s="70"/>
      <c r="F106" s="1"/>
      <c r="G106" s="1"/>
      <c r="H106" s="1"/>
      <c r="I106" s="2"/>
      <c r="J106" s="76"/>
      <c r="K106" s="76"/>
      <c r="L106" s="76"/>
    </row>
    <row r="107" spans="1:12" x14ac:dyDescent="0.25">
      <c r="A107" s="70"/>
      <c r="B107" s="70"/>
      <c r="C107" s="70"/>
      <c r="D107" s="70" t="s">
        <v>101</v>
      </c>
      <c r="E107" s="70"/>
      <c r="F107" s="1">
        <v>2765.26</v>
      </c>
      <c r="G107" s="1">
        <v>10000</v>
      </c>
      <c r="H107" s="1">
        <f t="shared" ref="H107:H113" si="22">ROUND((F107-G107),5)</f>
        <v>-7234.74</v>
      </c>
      <c r="I107" s="2">
        <f t="shared" ref="I107:I113" si="23">ROUND(IF(G107=0, IF(F107=0, 0, 1), F107/G107),5)</f>
        <v>0.27653</v>
      </c>
      <c r="J107" s="76">
        <v>10000</v>
      </c>
      <c r="K107" s="76">
        <f t="shared" ref="K107:K110" si="24">G107+J107</f>
        <v>20000</v>
      </c>
      <c r="L107" s="76">
        <v>10000</v>
      </c>
    </row>
    <row r="108" spans="1:12" ht="15.75" thickBot="1" x14ac:dyDescent="0.3">
      <c r="A108" s="70"/>
      <c r="B108" s="70"/>
      <c r="C108" s="70"/>
      <c r="D108" s="70" t="s">
        <v>102</v>
      </c>
      <c r="E108" s="70"/>
      <c r="F108" s="3">
        <v>0</v>
      </c>
      <c r="G108" s="3">
        <v>60000</v>
      </c>
      <c r="H108" s="3">
        <f t="shared" si="22"/>
        <v>-60000</v>
      </c>
      <c r="I108" s="4">
        <f t="shared" si="23"/>
        <v>0</v>
      </c>
      <c r="J108" s="76"/>
      <c r="K108" s="76">
        <f t="shared" si="24"/>
        <v>60000</v>
      </c>
      <c r="L108" s="76">
        <v>60000</v>
      </c>
    </row>
    <row r="109" spans="1:12" x14ac:dyDescent="0.25">
      <c r="A109" s="70"/>
      <c r="B109" s="70"/>
      <c r="C109" s="70" t="s">
        <v>103</v>
      </c>
      <c r="D109" s="70"/>
      <c r="E109" s="70"/>
      <c r="F109" s="1">
        <f>ROUND(SUM(F106:F108),5)</f>
        <v>2765.26</v>
      </c>
      <c r="G109" s="1">
        <f>ROUND(SUM(G106:G108),5)</f>
        <v>70000</v>
      </c>
      <c r="H109" s="1">
        <f t="shared" si="22"/>
        <v>-67234.740000000005</v>
      </c>
      <c r="I109" s="2">
        <f t="shared" si="23"/>
        <v>3.95E-2</v>
      </c>
      <c r="J109" s="76"/>
      <c r="K109" s="76"/>
      <c r="L109" s="76"/>
    </row>
    <row r="110" spans="1:12" ht="15.75" thickBot="1" x14ac:dyDescent="0.3">
      <c r="A110" s="70"/>
      <c r="B110" s="70"/>
      <c r="C110" s="70"/>
      <c r="D110" s="70" t="s">
        <v>104</v>
      </c>
      <c r="E110" s="70"/>
      <c r="F110" s="5">
        <v>0</v>
      </c>
      <c r="G110" s="5">
        <v>40000</v>
      </c>
      <c r="H110" s="5">
        <f t="shared" si="22"/>
        <v>-40000</v>
      </c>
      <c r="I110" s="6">
        <f t="shared" si="23"/>
        <v>0</v>
      </c>
      <c r="J110" s="76">
        <v>6000</v>
      </c>
      <c r="K110" s="76">
        <f t="shared" si="24"/>
        <v>46000</v>
      </c>
      <c r="L110" s="76">
        <v>50000</v>
      </c>
    </row>
    <row r="111" spans="1:12" ht="15.75" thickBot="1" x14ac:dyDescent="0.3">
      <c r="A111" s="70"/>
      <c r="B111" s="70"/>
      <c r="C111" s="70" t="s">
        <v>105</v>
      </c>
      <c r="D111" s="70"/>
      <c r="E111" s="70"/>
      <c r="F111" s="7">
        <f>ROUND(SUM(F110:F110),5)</f>
        <v>0</v>
      </c>
      <c r="G111" s="7">
        <f>ROUND(SUM(G110:G110),5)</f>
        <v>40000</v>
      </c>
      <c r="H111" s="7">
        <f t="shared" si="22"/>
        <v>-40000</v>
      </c>
      <c r="I111" s="8">
        <f t="shared" si="23"/>
        <v>0</v>
      </c>
      <c r="J111" s="76"/>
      <c r="K111" s="76"/>
      <c r="L111" s="76"/>
    </row>
    <row r="112" spans="1:12" ht="15.75" thickBot="1" x14ac:dyDescent="0.3">
      <c r="A112" s="70"/>
      <c r="B112" s="70" t="s">
        <v>106</v>
      </c>
      <c r="C112" s="70"/>
      <c r="D112" s="70"/>
      <c r="E112" s="70"/>
      <c r="F112" s="7">
        <f>ROUND(F105+F109+F111,5)</f>
        <v>2765.26</v>
      </c>
      <c r="G112" s="7">
        <f>ROUND(G105+G109+G111,5)</f>
        <v>110000</v>
      </c>
      <c r="H112" s="7">
        <f t="shared" si="22"/>
        <v>-107234.74</v>
      </c>
      <c r="I112" s="8">
        <f t="shared" si="23"/>
        <v>2.5139999999999999E-2</v>
      </c>
      <c r="J112" s="76"/>
      <c r="K112" s="76"/>
      <c r="L112" s="76"/>
    </row>
    <row r="113" spans="1:12" ht="15.75" hidden="1" thickBot="1" x14ac:dyDescent="0.3">
      <c r="A113" s="70" t="s">
        <v>107</v>
      </c>
      <c r="B113" s="70"/>
      <c r="C113" s="70"/>
      <c r="D113" s="70"/>
      <c r="E113" s="70"/>
      <c r="F113" s="7">
        <f>ROUND(F101+F104-F112,5)</f>
        <v>-2765.26</v>
      </c>
      <c r="G113" s="7">
        <f>ROUND(G101+G104-G112,5)</f>
        <v>-110000</v>
      </c>
      <c r="H113" s="7">
        <f t="shared" si="22"/>
        <v>107234.74</v>
      </c>
      <c r="I113" s="8">
        <f t="shared" si="23"/>
        <v>2.5139999999999999E-2</v>
      </c>
    </row>
    <row r="114" spans="1:12" s="12" customFormat="1" ht="12" customHeight="1" thickBot="1" x14ac:dyDescent="0.25">
      <c r="A114" s="70"/>
      <c r="B114" s="70" t="s">
        <v>130</v>
      </c>
      <c r="C114" s="70"/>
      <c r="D114" s="70"/>
      <c r="E114" s="70"/>
      <c r="F114" s="7">
        <f>F112+F99</f>
        <v>573383.75</v>
      </c>
      <c r="G114" s="7">
        <f>G112+G99</f>
        <v>1533066</v>
      </c>
      <c r="H114" s="7">
        <f>H112+H99</f>
        <v>-959682.25</v>
      </c>
      <c r="I114" s="8"/>
      <c r="J114" s="65">
        <f>SUM(J39:J112)</f>
        <v>-41264</v>
      </c>
      <c r="K114" s="65">
        <f>SUM(K40:K112)</f>
        <v>1611052</v>
      </c>
      <c r="L114" s="65">
        <f>SUM(L40:L112)</f>
        <v>1542565</v>
      </c>
    </row>
    <row r="115" spans="1:12" ht="15.75" thickBot="1" x14ac:dyDescent="0.3">
      <c r="B115" s="70"/>
      <c r="C115" s="70"/>
      <c r="D115" s="70"/>
      <c r="E115" s="70" t="s">
        <v>150</v>
      </c>
      <c r="F115" s="11">
        <f>F35-F114</f>
        <v>361990.67000000004</v>
      </c>
      <c r="G115" s="11">
        <f>G35-G114</f>
        <v>122750</v>
      </c>
      <c r="H115" s="11">
        <f>H35-H114</f>
        <v>239240.67000000004</v>
      </c>
      <c r="I115" s="11"/>
      <c r="K115" s="64">
        <f>K35-K114</f>
        <v>0</v>
      </c>
      <c r="L115" s="64">
        <f>L36-L114</f>
        <v>0</v>
      </c>
    </row>
    <row r="116" spans="1:12" ht="15.75" thickTop="1" x14ac:dyDescent="0.25">
      <c r="B116" s="70"/>
      <c r="C116" s="70"/>
      <c r="D116" s="70"/>
      <c r="E116" s="70"/>
      <c r="J116" s="20"/>
    </row>
  </sheetData>
  <pageMargins left="0.7" right="0.7" top="0.75" bottom="0.75" header="0.1" footer="0.3"/>
  <pageSetup scale="90" fitToHeight="5" orientation="portrait" r:id="rId1"/>
  <headerFooter>
    <oddHeader xml:space="preserve">&amp;C&amp;"Arial,Bold"&amp;12 North Oakland Transportation Authority, Inc.
&amp;14 Approved Budget 2021&amp;10 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Formula Funding 2021</vt:lpstr>
      <vt:lpstr>Salary 2021 0%</vt:lpstr>
      <vt:lpstr>Salary 2021 2%</vt:lpstr>
      <vt:lpstr>Salary 2021 3%</vt:lpstr>
      <vt:lpstr>millage and summary 2021</vt:lpstr>
      <vt:lpstr>2020 2021 budget</vt:lpstr>
      <vt:lpstr>'2020 2021 budget'!Print_Area</vt:lpstr>
      <vt:lpstr>'Formula Funding 2021'!Print_Area</vt:lpstr>
      <vt:lpstr>'millage and summary 2021'!Print_Area</vt:lpstr>
      <vt:lpstr>'2020 2021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Gustafson</dc:creator>
  <cp:lastModifiedBy>Lynn Gustafson</cp:lastModifiedBy>
  <cp:lastPrinted>2021-02-08T19:20:43Z</cp:lastPrinted>
  <dcterms:created xsi:type="dcterms:W3CDTF">2020-08-24T17:55:18Z</dcterms:created>
  <dcterms:modified xsi:type="dcterms:W3CDTF">2021-02-08T22:18:06Z</dcterms:modified>
</cp:coreProperties>
</file>